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5255" windowHeight="6630"/>
  </bookViews>
  <sheets>
    <sheet name="NO-Formation" sheetId="3" r:id="rId1"/>
    <sheet name="Bildungsenthalpie" sheetId="5" r:id="rId2"/>
    <sheet name="Diagramme" sheetId="4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19" i="3" l="1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25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25" i="3"/>
  <c r="K26" i="3"/>
  <c r="J25" i="3" l="1"/>
  <c r="B9" i="3" l="1"/>
  <c r="B15" i="3"/>
  <c r="F44" i="3"/>
  <c r="J44" i="3"/>
  <c r="C47" i="5" l="1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C2" i="5"/>
  <c r="D2" i="5" s="1"/>
  <c r="G22" i="3"/>
  <c r="C1" i="3"/>
  <c r="D25" i="3" s="1"/>
  <c r="C2" i="3"/>
  <c r="D54" i="3"/>
  <c r="D56" i="3"/>
  <c r="D34" i="3"/>
  <c r="D27" i="3" l="1"/>
  <c r="D42" i="3"/>
  <c r="B26" i="3"/>
  <c r="B70" i="3"/>
  <c r="B73" i="3"/>
  <c r="C73" i="3" s="1"/>
  <c r="B75" i="3"/>
  <c r="C75" i="3" s="1"/>
  <c r="B77" i="3"/>
  <c r="C77" i="3" s="1"/>
  <c r="B64" i="3"/>
  <c r="C64" i="3" s="1"/>
  <c r="E64" i="3" s="1"/>
  <c r="B65" i="3"/>
  <c r="C65" i="3" s="1"/>
  <c r="B68" i="3"/>
  <c r="B71" i="3"/>
  <c r="C71" i="3" s="1"/>
  <c r="B63" i="3"/>
  <c r="C63" i="3" s="1"/>
  <c r="E63" i="3" s="1"/>
  <c r="B66" i="3"/>
  <c r="B67" i="3"/>
  <c r="C67" i="3" s="1"/>
  <c r="B72" i="3"/>
  <c r="B79" i="3"/>
  <c r="C79" i="3" s="1"/>
  <c r="E79" i="3" s="1"/>
  <c r="B80" i="3"/>
  <c r="B69" i="3"/>
  <c r="C69" i="3" s="1"/>
  <c r="B74" i="3"/>
  <c r="C74" i="3" s="1"/>
  <c r="B76" i="3"/>
  <c r="C76" i="3" s="1"/>
  <c r="E76" i="3" s="1"/>
  <c r="B78" i="3"/>
  <c r="B81" i="3"/>
  <c r="C81" i="3" s="1"/>
  <c r="D65" i="3"/>
  <c r="C68" i="3"/>
  <c r="D71" i="3"/>
  <c r="D78" i="3"/>
  <c r="C80" i="3"/>
  <c r="D66" i="3"/>
  <c r="D69" i="3"/>
  <c r="D72" i="3"/>
  <c r="D76" i="3"/>
  <c r="D81" i="3"/>
  <c r="D64" i="3"/>
  <c r="D68" i="3"/>
  <c r="E68" i="3" s="1"/>
  <c r="C70" i="3"/>
  <c r="D73" i="3"/>
  <c r="D75" i="3"/>
  <c r="D77" i="3"/>
  <c r="D80" i="3"/>
  <c r="E80" i="3" s="1"/>
  <c r="D74" i="3"/>
  <c r="D63" i="3"/>
  <c r="C66" i="3"/>
  <c r="E66" i="3" s="1"/>
  <c r="D67" i="3"/>
  <c r="D70" i="3"/>
  <c r="C72" i="3"/>
  <c r="D79" i="3"/>
  <c r="C78" i="3"/>
  <c r="D52" i="3"/>
  <c r="D40" i="3"/>
  <c r="D39" i="3"/>
  <c r="D45" i="3"/>
  <c r="B45" i="3"/>
  <c r="C45" i="3" s="1"/>
  <c r="B61" i="3"/>
  <c r="C61" i="3" s="1"/>
  <c r="B59" i="3"/>
  <c r="B57" i="3"/>
  <c r="C57" i="3" s="1"/>
  <c r="B55" i="3"/>
  <c r="B53" i="3"/>
  <c r="C53" i="3" s="1"/>
  <c r="B51" i="3"/>
  <c r="B49" i="3"/>
  <c r="C49" i="3" s="1"/>
  <c r="B47" i="3"/>
  <c r="B43" i="3"/>
  <c r="C43" i="3" s="1"/>
  <c r="E43" i="3" s="1"/>
  <c r="B41" i="3"/>
  <c r="C41" i="3" s="1"/>
  <c r="B39" i="3"/>
  <c r="C39" i="3" s="1"/>
  <c r="B37" i="3"/>
  <c r="C37" i="3" s="1"/>
  <c r="B35" i="3"/>
  <c r="C35" i="3" s="1"/>
  <c r="E35" i="3" s="1"/>
  <c r="B33" i="3"/>
  <c r="C33" i="3" s="1"/>
  <c r="B31" i="3"/>
  <c r="B29" i="3"/>
  <c r="B27" i="3"/>
  <c r="C27" i="3" s="1"/>
  <c r="E27" i="3" s="1"/>
  <c r="B25" i="3"/>
  <c r="C25" i="3" s="1"/>
  <c r="E25" i="3" s="1"/>
  <c r="D38" i="3"/>
  <c r="D37" i="3"/>
  <c r="D36" i="3"/>
  <c r="D35" i="3"/>
  <c r="D28" i="3"/>
  <c r="D26" i="3"/>
  <c r="D57" i="3"/>
  <c r="D55" i="3"/>
  <c r="D53" i="3"/>
  <c r="D43" i="3"/>
  <c r="D41" i="3"/>
  <c r="E41" i="3" s="1"/>
  <c r="B16" i="3"/>
  <c r="B17" i="3" s="1"/>
  <c r="B18" i="3" s="1"/>
  <c r="B21" i="3" s="1"/>
  <c r="D46" i="3"/>
  <c r="B62" i="3"/>
  <c r="B60" i="3"/>
  <c r="C60" i="3" s="1"/>
  <c r="B58" i="3"/>
  <c r="B56" i="3"/>
  <c r="C56" i="3" s="1"/>
  <c r="E56" i="3" s="1"/>
  <c r="B54" i="3"/>
  <c r="B52" i="3"/>
  <c r="C52" i="3" s="1"/>
  <c r="E52" i="3" s="1"/>
  <c r="B50" i="3"/>
  <c r="B48" i="3"/>
  <c r="B46" i="3"/>
  <c r="C46" i="3" s="1"/>
  <c r="E46" i="3" s="1"/>
  <c r="B42" i="3"/>
  <c r="C42" i="3" s="1"/>
  <c r="B40" i="3"/>
  <c r="C40" i="3" s="1"/>
  <c r="E40" i="3" s="1"/>
  <c r="B38" i="3"/>
  <c r="C38" i="3" s="1"/>
  <c r="B36" i="3"/>
  <c r="C36" i="3" s="1"/>
  <c r="B34" i="3"/>
  <c r="C34" i="3" s="1"/>
  <c r="E34" i="3" s="1"/>
  <c r="B32" i="3"/>
  <c r="C32" i="3" s="1"/>
  <c r="B30" i="3"/>
  <c r="B28" i="3"/>
  <c r="D33" i="3"/>
  <c r="D51" i="3"/>
  <c r="D61" i="3"/>
  <c r="C51" i="3"/>
  <c r="D32" i="3"/>
  <c r="C50" i="3"/>
  <c r="D49" i="3"/>
  <c r="D31" i="3"/>
  <c r="D60" i="3"/>
  <c r="D62" i="3"/>
  <c r="D50" i="3"/>
  <c r="C62" i="3"/>
  <c r="E62" i="3" s="1"/>
  <c r="C58" i="3"/>
  <c r="C30" i="3"/>
  <c r="C55" i="3"/>
  <c r="E55" i="3" s="1"/>
  <c r="C31" i="3"/>
  <c r="D48" i="3"/>
  <c r="C54" i="3"/>
  <c r="E54" i="3" s="1"/>
  <c r="C28" i="3"/>
  <c r="E28" i="3" s="1"/>
  <c r="D30" i="3"/>
  <c r="D59" i="3"/>
  <c r="C48" i="3"/>
  <c r="C59" i="3"/>
  <c r="D47" i="3"/>
  <c r="C26" i="3"/>
  <c r="E26" i="3" s="1"/>
  <c r="D29" i="3"/>
  <c r="D58" i="3"/>
  <c r="C47" i="3"/>
  <c r="C29" i="3"/>
  <c r="E38" i="3"/>
  <c r="E37" i="3"/>
  <c r="E42" i="3"/>
  <c r="E39" i="3"/>
  <c r="E36" i="3" l="1"/>
  <c r="E72" i="3"/>
  <c r="E78" i="3"/>
  <c r="E74" i="3"/>
  <c r="E71" i="3"/>
  <c r="E77" i="3"/>
  <c r="E81" i="3"/>
  <c r="E69" i="3"/>
  <c r="E67" i="3"/>
  <c r="E75" i="3"/>
  <c r="E31" i="3"/>
  <c r="E70" i="3"/>
  <c r="E65" i="3"/>
  <c r="E73" i="3"/>
  <c r="E29" i="3"/>
  <c r="E53" i="3"/>
  <c r="E57" i="3"/>
  <c r="E45" i="3"/>
  <c r="B22" i="3"/>
  <c r="B20" i="3" s="1"/>
  <c r="J22" i="3"/>
  <c r="I21" i="3" s="1"/>
  <c r="G26" i="3"/>
  <c r="F26" i="3"/>
  <c r="E48" i="3"/>
  <c r="E51" i="3"/>
  <c r="E30" i="3"/>
  <c r="E50" i="3"/>
  <c r="E49" i="3"/>
  <c r="E59" i="3"/>
  <c r="E33" i="3"/>
  <c r="E32" i="3"/>
  <c r="E61" i="3"/>
  <c r="E47" i="3"/>
  <c r="E60" i="3"/>
  <c r="E58" i="3"/>
  <c r="F27" i="3" l="1"/>
  <c r="J26" i="3"/>
  <c r="G27" i="3"/>
  <c r="I20" i="3"/>
  <c r="J27" i="3" l="1"/>
  <c r="F28" i="3"/>
  <c r="G28" i="3"/>
  <c r="J28" i="3" l="1"/>
  <c r="F29" i="3"/>
  <c r="G29" i="3"/>
  <c r="J29" i="3" l="1"/>
  <c r="F30" i="3"/>
  <c r="G30" i="3"/>
  <c r="J30" i="3" l="1"/>
  <c r="F31" i="3"/>
  <c r="G31" i="3"/>
  <c r="J31" i="3" l="1"/>
  <c r="F32" i="3"/>
  <c r="G32" i="3"/>
  <c r="J32" i="3" l="1"/>
  <c r="F33" i="3"/>
  <c r="G33" i="3"/>
  <c r="J33" i="3" l="1"/>
  <c r="F34" i="3"/>
  <c r="G34" i="3"/>
  <c r="F35" i="3" l="1"/>
  <c r="J34" i="3"/>
  <c r="G35" i="3"/>
  <c r="J35" i="3" l="1"/>
  <c r="F36" i="3"/>
  <c r="G36" i="3"/>
  <c r="F37" i="3" l="1"/>
  <c r="J36" i="3"/>
  <c r="G37" i="3"/>
  <c r="J37" i="3" l="1"/>
  <c r="F38" i="3"/>
  <c r="G38" i="3"/>
  <c r="F39" i="3" l="1"/>
  <c r="J38" i="3"/>
  <c r="G39" i="3"/>
  <c r="J39" i="3" l="1"/>
  <c r="F40" i="3"/>
  <c r="G40" i="3"/>
  <c r="J40" i="3" l="1"/>
  <c r="F41" i="3"/>
  <c r="G41" i="3"/>
  <c r="J41" i="3" l="1"/>
  <c r="F42" i="3"/>
  <c r="G42" i="3"/>
  <c r="F43" i="3" l="1"/>
  <c r="J42" i="3"/>
  <c r="G43" i="3"/>
  <c r="J43" i="3" l="1"/>
  <c r="G45" i="3"/>
  <c r="J45" i="3" l="1"/>
  <c r="F45" i="3"/>
  <c r="G46" i="3"/>
  <c r="J46" i="3" l="1"/>
  <c r="F46" i="3"/>
  <c r="G47" i="3"/>
  <c r="J47" i="3" l="1"/>
  <c r="F47" i="3"/>
  <c r="G48" i="3"/>
  <c r="J48" i="3" l="1"/>
  <c r="F48" i="3"/>
  <c r="G49" i="3"/>
  <c r="J49" i="3" l="1"/>
  <c r="F49" i="3"/>
  <c r="G50" i="3"/>
  <c r="J50" i="3" l="1"/>
  <c r="F50" i="3"/>
  <c r="G51" i="3"/>
  <c r="J51" i="3" l="1"/>
  <c r="F51" i="3"/>
  <c r="G52" i="3"/>
  <c r="J52" i="3" l="1"/>
  <c r="F52" i="3"/>
  <c r="G53" i="3"/>
  <c r="J53" i="3" l="1"/>
  <c r="F53" i="3"/>
  <c r="G54" i="3"/>
  <c r="J54" i="3" l="1"/>
  <c r="F54" i="3"/>
  <c r="G55" i="3"/>
  <c r="J55" i="3" l="1"/>
  <c r="F55" i="3"/>
  <c r="G56" i="3"/>
  <c r="J56" i="3" l="1"/>
  <c r="F56" i="3"/>
  <c r="G57" i="3"/>
  <c r="J57" i="3" l="1"/>
  <c r="F57" i="3"/>
  <c r="G58" i="3"/>
  <c r="J58" i="3" l="1"/>
  <c r="F58" i="3"/>
  <c r="G59" i="3"/>
  <c r="J59" i="3" l="1"/>
  <c r="F59" i="3"/>
  <c r="G60" i="3"/>
  <c r="J60" i="3" l="1"/>
  <c r="F60" i="3"/>
  <c r="G61" i="3"/>
  <c r="J61" i="3" l="1"/>
  <c r="F61" i="3"/>
  <c r="G62" i="3"/>
  <c r="G63" i="3" s="1"/>
  <c r="J63" i="3" l="1"/>
  <c r="G64" i="3"/>
  <c r="J62" i="3"/>
  <c r="F62" i="3"/>
  <c r="F63" i="3" l="1"/>
  <c r="J64" i="3"/>
  <c r="G65" i="3"/>
  <c r="F64" i="3" l="1"/>
  <c r="J65" i="3"/>
  <c r="G66" i="3"/>
  <c r="F65" i="3" l="1"/>
  <c r="F66" i="3"/>
  <c r="J66" i="3"/>
  <c r="G67" i="3"/>
  <c r="J67" i="3" l="1"/>
  <c r="G68" i="3"/>
  <c r="F67" i="3"/>
  <c r="G69" i="3" l="1"/>
  <c r="J68" i="3"/>
  <c r="F68" i="3"/>
  <c r="F69" i="3" l="1"/>
  <c r="J69" i="3"/>
  <c r="G70" i="3"/>
  <c r="J70" i="3" l="1"/>
  <c r="G71" i="3"/>
  <c r="F70" i="3"/>
  <c r="F71" i="3" l="1"/>
  <c r="J71" i="3"/>
  <c r="G72" i="3"/>
  <c r="F72" i="3" l="1"/>
  <c r="J72" i="3"/>
  <c r="G73" i="3"/>
  <c r="F73" i="3" l="1"/>
  <c r="G74" i="3"/>
  <c r="J73" i="3"/>
  <c r="F74" i="3" l="1"/>
  <c r="J74" i="3"/>
  <c r="G75" i="3"/>
  <c r="G76" i="3" l="1"/>
  <c r="J75" i="3"/>
  <c r="F75" i="3"/>
  <c r="F76" i="3" l="1"/>
  <c r="G77" i="3"/>
  <c r="J76" i="3"/>
  <c r="F77" i="3" l="1"/>
  <c r="J77" i="3"/>
  <c r="G78" i="3"/>
  <c r="J78" i="3" l="1"/>
  <c r="G79" i="3"/>
  <c r="F78" i="3"/>
  <c r="F79" i="3" l="1"/>
  <c r="J79" i="3"/>
  <c r="G80" i="3"/>
  <c r="F80" i="3" l="1"/>
  <c r="G81" i="3"/>
  <c r="J80" i="3"/>
  <c r="J81" i="3" l="1"/>
  <c r="F81" i="3"/>
  <c r="R83" i="3" l="1"/>
  <c r="H14" i="3"/>
</calcChain>
</file>

<file path=xl/sharedStrings.xml><?xml version="1.0" encoding="utf-8"?>
<sst xmlns="http://schemas.openxmlformats.org/spreadsheetml/2006/main" count="67" uniqueCount="61">
  <si>
    <t>°KW</t>
  </si>
  <si>
    <t>D</t>
  </si>
  <si>
    <t>s</t>
  </si>
  <si>
    <t>Epsilon</t>
  </si>
  <si>
    <t>p1</t>
  </si>
  <si>
    <t>T1</t>
  </si>
  <si>
    <t>Hu</t>
  </si>
  <si>
    <t>Lambda</t>
  </si>
  <si>
    <t>lmin</t>
  </si>
  <si>
    <t>kappa</t>
  </si>
  <si>
    <t>cp</t>
  </si>
  <si>
    <t>cv</t>
  </si>
  <si>
    <t>R</t>
  </si>
  <si>
    <t>Vc</t>
  </si>
  <si>
    <t>Vh</t>
  </si>
  <si>
    <t>V1</t>
  </si>
  <si>
    <t>pi/4D^2*s</t>
  </si>
  <si>
    <t>Vh/(epsilon-1)</t>
  </si>
  <si>
    <t>Qzu</t>
  </si>
  <si>
    <t>mk*Hu</t>
  </si>
  <si>
    <t>Vc+Vh</t>
  </si>
  <si>
    <t>ml</t>
  </si>
  <si>
    <t>p*V/(R*T)</t>
  </si>
  <si>
    <t>mk</t>
  </si>
  <si>
    <t>ml/(Lambda*lmin)</t>
  </si>
  <si>
    <t>Kolbenweg</t>
  </si>
  <si>
    <t>Kolbenwegsgleichung</t>
  </si>
  <si>
    <t>Lambda_p</t>
  </si>
  <si>
    <t>lambda_p=s/(2*l)</t>
  </si>
  <si>
    <t>Vh(x)</t>
  </si>
  <si>
    <t>p(phi)</t>
  </si>
  <si>
    <t>T(phi)</t>
  </si>
  <si>
    <r>
      <t>M</t>
    </r>
    <r>
      <rPr>
        <vertAlign val="subscript"/>
        <sz val="11"/>
        <color theme="1"/>
        <rFont val="Calibri"/>
        <family val="2"/>
        <scheme val="minor"/>
      </rPr>
      <t xml:space="preserve"> N2</t>
    </r>
  </si>
  <si>
    <r>
      <t>M</t>
    </r>
    <r>
      <rPr>
        <vertAlign val="subscript"/>
        <sz val="11"/>
        <color theme="1"/>
        <rFont val="Calibri"/>
        <family val="2"/>
        <scheme val="minor"/>
      </rPr>
      <t xml:space="preserve"> O2</t>
    </r>
  </si>
  <si>
    <t>mol</t>
  </si>
  <si>
    <t>Mluft</t>
  </si>
  <si>
    <t>n</t>
  </si>
  <si>
    <t>T[K]</t>
  </si>
  <si>
    <t>delta G [J/mol] freie Bildungsenthalpie O Radikal</t>
  </si>
  <si>
    <t>Kp</t>
  </si>
  <si>
    <t>y = -5,32E-04x2 - 6,40E+01x + 2,52E+05</t>
  </si>
  <si>
    <t>Kp(T)</t>
  </si>
  <si>
    <t>dt=</t>
  </si>
  <si>
    <r>
      <t>n</t>
    </r>
    <r>
      <rPr>
        <vertAlign val="subscript"/>
        <sz val="11"/>
        <color theme="1"/>
        <rFont val="Calibri"/>
        <family val="2"/>
        <scheme val="minor"/>
      </rPr>
      <t>Luft</t>
    </r>
  </si>
  <si>
    <t>g/mol</t>
  </si>
  <si>
    <t>genau:</t>
  </si>
  <si>
    <t>Vereinfacht:</t>
  </si>
  <si>
    <r>
      <t>NO in [kmol/m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</si>
  <si>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[N] Konz_N2</t>
  </si>
  <si>
    <t>[O]  Konz_O2</t>
  </si>
  <si>
    <r>
      <t>delta_G 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/O</t>
    </r>
  </si>
  <si>
    <t>entspricht</t>
  </si>
  <si>
    <t>ppm</t>
  </si>
  <si>
    <t>1/min</t>
  </si>
  <si>
    <t>NO in (kmol/kmol)/s</t>
  </si>
  <si>
    <t>NO in ppm/s</t>
  </si>
  <si>
    <r>
      <t>d(NO)/dt  in [kmol/(m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*s)]</t>
    </r>
  </si>
  <si>
    <t>Summe NO [ppm]</t>
  </si>
  <si>
    <t>NO je 5°KW in ppm</t>
  </si>
  <si>
    <t>k1(phi)</t>
  </si>
  <si>
    <t>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</si>
</sst>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E+00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11" fontId="3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readingOrder="1"/>
    </xf>
    <xf numFmtId="164" fontId="0" fillId="0" borderId="0" xfId="0" applyNumberFormat="1"/>
    <xf numFmtId="2" fontId="0" fillId="0" borderId="0" xfId="0" applyNumberFormat="1"/>
    <xf numFmtId="164" fontId="7" fillId="0" borderId="0" xfId="0" applyNumberFormat="1" applyFont="1"/>
    <xf numFmtId="0" fontId="0" fillId="2" borderId="0" xfId="0" applyFill="1"/>
    <xf numFmtId="11" fontId="0" fillId="2" borderId="0" xfId="0" applyNumberFormat="1" applyFill="1"/>
    <xf numFmtId="11" fontId="4" fillId="2" borderId="0" xfId="0" applyNumberFormat="1" applyFont="1" applyFill="1"/>
    <xf numFmtId="0" fontId="4" fillId="2" borderId="0" xfId="0" applyFont="1" applyFill="1"/>
    <xf numFmtId="0" fontId="0" fillId="0" borderId="0" xfId="0" applyAlignment="1">
      <alignment wrapText="1"/>
    </xf>
    <xf numFmtId="0" fontId="9" fillId="0" borderId="0" xfId="0" applyFont="1"/>
    <xf numFmtId="43" fontId="9" fillId="0" borderId="0" xfId="1" applyFont="1"/>
    <xf numFmtId="0" fontId="0" fillId="3" borderId="0" xfId="0" applyFill="1"/>
    <xf numFmtId="11" fontId="4" fillId="3" borderId="0" xfId="0" applyNumberFormat="1" applyFont="1" applyFill="1"/>
    <xf numFmtId="0" fontId="4" fillId="3" borderId="0" xfId="0" applyFont="1" applyFill="1"/>
    <xf numFmtId="0" fontId="0" fillId="4" borderId="0" xfId="0" applyFill="1" applyAlignment="1">
      <alignment wrapText="1"/>
    </xf>
    <xf numFmtId="11" fontId="4" fillId="4" borderId="0" xfId="0" applyNumberFormat="1" applyFont="1" applyFill="1"/>
    <xf numFmtId="0" fontId="0" fillId="0" borderId="0" xfId="1" applyNumberFormat="1" applyFont="1"/>
    <xf numFmtId="2" fontId="0" fillId="0" borderId="0" xfId="1" applyNumberFormat="1" applyFont="1"/>
    <xf numFmtId="0" fontId="0" fillId="5" borderId="4" xfId="0" applyFill="1" applyBorder="1"/>
    <xf numFmtId="0" fontId="0" fillId="5" borderId="4" xfId="1" applyNumberFormat="1" applyFont="1" applyFill="1" applyBorder="1"/>
    <xf numFmtId="0" fontId="11" fillId="6" borderId="1" xfId="0" applyFont="1" applyFill="1" applyBorder="1"/>
    <xf numFmtId="165" fontId="12" fillId="6" borderId="2" xfId="1" applyNumberFormat="1" applyFont="1" applyFill="1" applyBorder="1"/>
    <xf numFmtId="0" fontId="12" fillId="6" borderId="3" xfId="0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[1]Polynom_Bildungsenthalpie!$D$1</c:f>
              <c:strCache>
                <c:ptCount val="1"/>
                <c:pt idx="0">
                  <c:v>Kp</c:v>
                </c:pt>
              </c:strCache>
            </c:strRef>
          </c:tx>
          <c:marker>
            <c:symbol val="none"/>
          </c:marker>
          <c:xVal>
            <c:numRef>
              <c:f>[1]Polynom_Bildungsenthalpie!$A$2:$A$47</c:f>
              <c:numCache>
                <c:formatCode>General</c:formatCode>
                <c:ptCount val="46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  <c:pt idx="20">
                  <c:v>2200</c:v>
                </c:pt>
                <c:pt idx="21">
                  <c:v>2300</c:v>
                </c:pt>
                <c:pt idx="22">
                  <c:v>2400</c:v>
                </c:pt>
                <c:pt idx="23">
                  <c:v>2500</c:v>
                </c:pt>
                <c:pt idx="24">
                  <c:v>2600</c:v>
                </c:pt>
                <c:pt idx="25">
                  <c:v>2700</c:v>
                </c:pt>
                <c:pt idx="26">
                  <c:v>2800</c:v>
                </c:pt>
                <c:pt idx="27">
                  <c:v>2900</c:v>
                </c:pt>
                <c:pt idx="28">
                  <c:v>3000</c:v>
                </c:pt>
                <c:pt idx="29">
                  <c:v>3100</c:v>
                </c:pt>
                <c:pt idx="30">
                  <c:v>3200</c:v>
                </c:pt>
                <c:pt idx="31">
                  <c:v>3300</c:v>
                </c:pt>
                <c:pt idx="32">
                  <c:v>3400</c:v>
                </c:pt>
                <c:pt idx="33">
                  <c:v>3500</c:v>
                </c:pt>
                <c:pt idx="34">
                  <c:v>3600</c:v>
                </c:pt>
                <c:pt idx="35">
                  <c:v>3700</c:v>
                </c:pt>
                <c:pt idx="36">
                  <c:v>3800</c:v>
                </c:pt>
                <c:pt idx="37">
                  <c:v>3900</c:v>
                </c:pt>
                <c:pt idx="38">
                  <c:v>4000</c:v>
                </c:pt>
                <c:pt idx="39">
                  <c:v>4100</c:v>
                </c:pt>
                <c:pt idx="40">
                  <c:v>4200</c:v>
                </c:pt>
                <c:pt idx="41">
                  <c:v>4300</c:v>
                </c:pt>
                <c:pt idx="42">
                  <c:v>4400</c:v>
                </c:pt>
                <c:pt idx="43">
                  <c:v>4500</c:v>
                </c:pt>
                <c:pt idx="44">
                  <c:v>4600</c:v>
                </c:pt>
                <c:pt idx="45">
                  <c:v>4700</c:v>
                </c:pt>
              </c:numCache>
            </c:numRef>
          </c:xVal>
          <c:yVal>
            <c:numRef>
              <c:f>[1]Polynom_Bildungsenthalpie!$D$2:$D$47</c:f>
              <c:numCache>
                <c:formatCode>General</c:formatCode>
                <c:ptCount val="46"/>
                <c:pt idx="0">
                  <c:v>1.0046937713224318E-62</c:v>
                </c:pt>
                <c:pt idx="1">
                  <c:v>4.5836660093149837E-41</c:v>
                </c:pt>
                <c:pt idx="2">
                  <c:v>3.33471442259258E-30</c:v>
                </c:pt>
                <c:pt idx="3">
                  <c:v>1.1407623132079658E-23</c:v>
                </c:pt>
                <c:pt idx="4">
                  <c:v>2.6508505183829826E-19</c:v>
                </c:pt>
                <c:pt idx="5">
                  <c:v>3.5353746259576602E-16</c:v>
                </c:pt>
                <c:pt idx="6">
                  <c:v>7.8801159084695757E-14</c:v>
                </c:pt>
                <c:pt idx="7">
                  <c:v>5.3192268356267598E-12</c:v>
                </c:pt>
                <c:pt idx="8">
                  <c:v>1.5539710826449988E-10</c:v>
                </c:pt>
                <c:pt idx="9">
                  <c:v>2.4673326913154957E-9</c:v>
                </c:pt>
                <c:pt idx="10">
                  <c:v>2.4784925033914361E-8</c:v>
                </c:pt>
                <c:pt idx="11">
                  <c:v>1.7500262392714088E-7</c:v>
                </c:pt>
                <c:pt idx="12">
                  <c:v>9.3639070090751023E-7</c:v>
                </c:pt>
                <c:pt idx="13">
                  <c:v>4.0124498345193126E-6</c:v>
                </c:pt>
                <c:pt idx="14">
                  <c:v>1.4353431291531682E-5</c:v>
                </c:pt>
                <c:pt idx="15">
                  <c:v>4.4245633620693979E-5</c:v>
                </c:pt>
                <c:pt idx="16">
                  <c:v>1.2045879458041316E-4</c:v>
                </c:pt>
                <c:pt idx="17">
                  <c:v>2.9535913452246308E-4</c:v>
                </c:pt>
                <c:pt idx="18">
                  <c:v>6.6247927117133387E-4</c:v>
                </c:pt>
                <c:pt idx="19">
                  <c:v>1.3767535105150062E-3</c:v>
                </c:pt>
                <c:pt idx="20">
                  <c:v>2.6782412074441201E-3</c:v>
                </c:pt>
                <c:pt idx="21">
                  <c:v>4.919205959827486E-3</c:v>
                </c:pt>
                <c:pt idx="22">
                  <c:v>8.5918938850115759E-3</c:v>
                </c:pt>
                <c:pt idx="23">
                  <c:v>1.4355973856637519E-2</c:v>
                </c:pt>
                <c:pt idx="24">
                  <c:v>2.3063613326453479E-2</c:v>
                </c:pt>
                <c:pt idx="25">
                  <c:v>3.5783816693207959E-2</c:v>
                </c:pt>
                <c:pt idx="26">
                  <c:v>5.3813957458805163E-2</c:v>
                </c:pt>
                <c:pt idx="27">
                  <c:v>7.8699505703025724E-2</c:v>
                </c:pt>
                <c:pt idx="28">
                  <c:v>0.11222669579358943</c:v>
                </c:pt>
                <c:pt idx="29">
                  <c:v>0.15643872054736535</c:v>
                </c:pt>
                <c:pt idx="30">
                  <c:v>0.21360404721481444</c:v>
                </c:pt>
                <c:pt idx="31">
                  <c:v>0.28624645946957378</c:v>
                </c:pt>
                <c:pt idx="32">
                  <c:v>0.37707107947997898</c:v>
                </c:pt>
                <c:pt idx="33">
                  <c:v>0.48898680482201901</c:v>
                </c:pt>
                <c:pt idx="34">
                  <c:v>0.62509181609069242</c:v>
                </c:pt>
                <c:pt idx="35">
                  <c:v>0.78856939729013531</c:v>
                </c:pt>
                <c:pt idx="36">
                  <c:v>0.98280406251661623</c:v>
                </c:pt>
                <c:pt idx="37">
                  <c:v>1.2111652756895064</c:v>
                </c:pt>
                <c:pt idx="38">
                  <c:v>1.477165561275315</c:v>
                </c:pt>
                <c:pt idx="39">
                  <c:v>1.7842739817746494</c:v>
                </c:pt>
                <c:pt idx="40">
                  <c:v>2.1359940834252749</c:v>
                </c:pt>
                <c:pt idx="41">
                  <c:v>2.5358788129103456</c:v>
                </c:pt>
                <c:pt idx="42">
                  <c:v>2.987315967028878</c:v>
                </c:pt>
                <c:pt idx="43">
                  <c:v>3.4936797493894063</c:v>
                </c:pt>
                <c:pt idx="44">
                  <c:v>4.0582591356305207</c:v>
                </c:pt>
                <c:pt idx="45">
                  <c:v>4.684360564923896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89376"/>
        <c:axId val="206789952"/>
      </c:scatterChart>
      <c:valAx>
        <c:axId val="2067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789952"/>
        <c:crosses val="autoZero"/>
        <c:crossBetween val="midCat"/>
      </c:valAx>
      <c:valAx>
        <c:axId val="20678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789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011434358862508E-2"/>
          <c:y val="8.154564463992478E-2"/>
          <c:w val="0.88549225428325096"/>
          <c:h val="0.8969378476259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[1]Polynom_Bildungsenthalpie!$C$1</c:f>
              <c:strCache>
                <c:ptCount val="1"/>
                <c:pt idx="0">
                  <c:v>delta G [J/mol] freie Bildungsenthalpie O Radikal</c:v>
                </c:pt>
              </c:strCache>
            </c:strRef>
          </c:tx>
          <c:marker>
            <c:symbol val="none"/>
          </c:marke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1.9082962185045422E-2"/>
                  <c:y val="-0.4347781713159474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400" baseline="0"/>
                      <a:t>y = -5,32E-04x</a:t>
                    </a:r>
                    <a:r>
                      <a:rPr lang="en-US" sz="1400" baseline="30000"/>
                      <a:t>2</a:t>
                    </a:r>
                    <a:r>
                      <a:rPr lang="en-US" sz="1400" baseline="0"/>
                      <a:t> - 6,40E+01x + 2,52E+05</a:t>
                    </a:r>
                    <a:endParaRPr lang="en-US" sz="1400"/>
                  </a:p>
                </c:rich>
              </c:tx>
              <c:numFmt formatCode="#,##0.00" sourceLinked="0"/>
            </c:trendlineLbl>
          </c:trendline>
          <c:xVal>
            <c:numRef>
              <c:f>[1]Polynom_Bildungsenthalpie!$A$2:$A$47</c:f>
              <c:numCache>
                <c:formatCode>General</c:formatCode>
                <c:ptCount val="46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  <c:pt idx="12">
                  <c:v>1400</c:v>
                </c:pt>
                <c:pt idx="13">
                  <c:v>1500</c:v>
                </c:pt>
                <c:pt idx="14">
                  <c:v>1600</c:v>
                </c:pt>
                <c:pt idx="15">
                  <c:v>1700</c:v>
                </c:pt>
                <c:pt idx="16">
                  <c:v>1800</c:v>
                </c:pt>
                <c:pt idx="17">
                  <c:v>1900</c:v>
                </c:pt>
                <c:pt idx="18">
                  <c:v>2000</c:v>
                </c:pt>
                <c:pt idx="19">
                  <c:v>2100</c:v>
                </c:pt>
                <c:pt idx="20">
                  <c:v>2200</c:v>
                </c:pt>
                <c:pt idx="21">
                  <c:v>2300</c:v>
                </c:pt>
                <c:pt idx="22">
                  <c:v>2400</c:v>
                </c:pt>
                <c:pt idx="23">
                  <c:v>2500</c:v>
                </c:pt>
                <c:pt idx="24">
                  <c:v>2600</c:v>
                </c:pt>
                <c:pt idx="25">
                  <c:v>2700</c:v>
                </c:pt>
                <c:pt idx="26">
                  <c:v>2800</c:v>
                </c:pt>
                <c:pt idx="27">
                  <c:v>2900</c:v>
                </c:pt>
                <c:pt idx="28">
                  <c:v>3000</c:v>
                </c:pt>
                <c:pt idx="29">
                  <c:v>3100</c:v>
                </c:pt>
                <c:pt idx="30">
                  <c:v>3200</c:v>
                </c:pt>
                <c:pt idx="31">
                  <c:v>3300</c:v>
                </c:pt>
                <c:pt idx="32">
                  <c:v>3400</c:v>
                </c:pt>
                <c:pt idx="33">
                  <c:v>3500</c:v>
                </c:pt>
                <c:pt idx="34">
                  <c:v>3600</c:v>
                </c:pt>
                <c:pt idx="35">
                  <c:v>3700</c:v>
                </c:pt>
                <c:pt idx="36">
                  <c:v>3800</c:v>
                </c:pt>
                <c:pt idx="37">
                  <c:v>3900</c:v>
                </c:pt>
                <c:pt idx="38">
                  <c:v>4000</c:v>
                </c:pt>
                <c:pt idx="39">
                  <c:v>4100</c:v>
                </c:pt>
                <c:pt idx="40">
                  <c:v>4200</c:v>
                </c:pt>
                <c:pt idx="41">
                  <c:v>4300</c:v>
                </c:pt>
                <c:pt idx="42">
                  <c:v>4400</c:v>
                </c:pt>
                <c:pt idx="43">
                  <c:v>4500</c:v>
                </c:pt>
                <c:pt idx="44">
                  <c:v>4600</c:v>
                </c:pt>
                <c:pt idx="45">
                  <c:v>4700</c:v>
                </c:pt>
              </c:numCache>
            </c:numRef>
          </c:xVal>
          <c:yVal>
            <c:numRef>
              <c:f>[1]Polynom_Bildungsenthalpie!$C$2:$C$47</c:f>
              <c:numCache>
                <c:formatCode>General</c:formatCode>
                <c:ptCount val="46"/>
                <c:pt idx="0">
                  <c:v>237374</c:v>
                </c:pt>
                <c:pt idx="1">
                  <c:v>231670</c:v>
                </c:pt>
                <c:pt idx="2">
                  <c:v>225719</c:v>
                </c:pt>
                <c:pt idx="3">
                  <c:v>219605</c:v>
                </c:pt>
                <c:pt idx="4">
                  <c:v>213375</c:v>
                </c:pt>
                <c:pt idx="5">
                  <c:v>207060</c:v>
                </c:pt>
                <c:pt idx="6">
                  <c:v>200679</c:v>
                </c:pt>
                <c:pt idx="7">
                  <c:v>194246</c:v>
                </c:pt>
                <c:pt idx="8">
                  <c:v>187772</c:v>
                </c:pt>
                <c:pt idx="9">
                  <c:v>181263</c:v>
                </c:pt>
                <c:pt idx="10">
                  <c:v>174724</c:v>
                </c:pt>
                <c:pt idx="11">
                  <c:v>168159</c:v>
                </c:pt>
                <c:pt idx="12">
                  <c:v>161572</c:v>
                </c:pt>
                <c:pt idx="13">
                  <c:v>154966</c:v>
                </c:pt>
                <c:pt idx="14">
                  <c:v>148342</c:v>
                </c:pt>
                <c:pt idx="15">
                  <c:v>141702</c:v>
                </c:pt>
                <c:pt idx="16">
                  <c:v>135049</c:v>
                </c:pt>
                <c:pt idx="17">
                  <c:v>128383.99999999999</c:v>
                </c:pt>
                <c:pt idx="18">
                  <c:v>121709</c:v>
                </c:pt>
                <c:pt idx="19">
                  <c:v>115023</c:v>
                </c:pt>
                <c:pt idx="20">
                  <c:v>108329</c:v>
                </c:pt>
                <c:pt idx="21">
                  <c:v>101627</c:v>
                </c:pt>
                <c:pt idx="22">
                  <c:v>94918</c:v>
                </c:pt>
                <c:pt idx="23">
                  <c:v>88203</c:v>
                </c:pt>
                <c:pt idx="24">
                  <c:v>81483</c:v>
                </c:pt>
                <c:pt idx="25">
                  <c:v>74757</c:v>
                </c:pt>
                <c:pt idx="26">
                  <c:v>68027</c:v>
                </c:pt>
                <c:pt idx="27">
                  <c:v>61292</c:v>
                </c:pt>
                <c:pt idx="28">
                  <c:v>54554</c:v>
                </c:pt>
                <c:pt idx="29">
                  <c:v>47812</c:v>
                </c:pt>
                <c:pt idx="30">
                  <c:v>41068</c:v>
                </c:pt>
                <c:pt idx="31">
                  <c:v>34320</c:v>
                </c:pt>
                <c:pt idx="32">
                  <c:v>27570</c:v>
                </c:pt>
                <c:pt idx="33">
                  <c:v>20818</c:v>
                </c:pt>
                <c:pt idx="34">
                  <c:v>14063</c:v>
                </c:pt>
                <c:pt idx="35">
                  <c:v>7307</c:v>
                </c:pt>
                <c:pt idx="36">
                  <c:v>548</c:v>
                </c:pt>
                <c:pt idx="37">
                  <c:v>-6212</c:v>
                </c:pt>
                <c:pt idx="38">
                  <c:v>-12974</c:v>
                </c:pt>
                <c:pt idx="39">
                  <c:v>-19737</c:v>
                </c:pt>
                <c:pt idx="40">
                  <c:v>-26501</c:v>
                </c:pt>
                <c:pt idx="41">
                  <c:v>-33267</c:v>
                </c:pt>
                <c:pt idx="42">
                  <c:v>-40034</c:v>
                </c:pt>
                <c:pt idx="43">
                  <c:v>-46802</c:v>
                </c:pt>
                <c:pt idx="44">
                  <c:v>-53571</c:v>
                </c:pt>
                <c:pt idx="45">
                  <c:v>-60342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62976"/>
        <c:axId val="212463552"/>
      </c:scatterChart>
      <c:valAx>
        <c:axId val="2124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463552"/>
        <c:crosses val="autoZero"/>
        <c:crossBetween val="midCat"/>
      </c:valAx>
      <c:valAx>
        <c:axId val="21246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62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1589189161809988"/>
          <c:y val="0.19442193212141695"/>
          <c:w val="0.29761182100828681"/>
          <c:h val="0.1495208266252963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'NO-Formation'!$G$24</c:f>
              <c:strCache>
                <c:ptCount val="1"/>
                <c:pt idx="0">
                  <c:v>T(phi)</c:v>
                </c:pt>
              </c:strCache>
            </c:strRef>
          </c:tx>
          <c:marker>
            <c:symbol val="none"/>
          </c:marker>
          <c:xVal>
            <c:numRef>
              <c:f>'NO-Formation'!$A$25:$A$62</c:f>
              <c:numCache>
                <c:formatCode>General</c:formatCode>
                <c:ptCount val="37"/>
                <c:pt idx="0">
                  <c:v>180</c:v>
                </c:pt>
                <c:pt idx="1">
                  <c:v>190</c:v>
                </c:pt>
                <c:pt idx="2">
                  <c:v>200</c:v>
                </c:pt>
                <c:pt idx="3">
                  <c:v>210</c:v>
                </c:pt>
                <c:pt idx="4">
                  <c:v>220</c:v>
                </c:pt>
                <c:pt idx="5">
                  <c:v>230</c:v>
                </c:pt>
                <c:pt idx="6">
                  <c:v>240</c:v>
                </c:pt>
                <c:pt idx="7">
                  <c:v>250</c:v>
                </c:pt>
                <c:pt idx="8">
                  <c:v>260</c:v>
                </c:pt>
                <c:pt idx="9">
                  <c:v>270</c:v>
                </c:pt>
                <c:pt idx="10">
                  <c:v>280</c:v>
                </c:pt>
                <c:pt idx="11">
                  <c:v>290</c:v>
                </c:pt>
                <c:pt idx="12">
                  <c:v>300</c:v>
                </c:pt>
                <c:pt idx="13">
                  <c:v>310</c:v>
                </c:pt>
                <c:pt idx="14">
                  <c:v>320</c:v>
                </c:pt>
                <c:pt idx="15">
                  <c:v>330</c:v>
                </c:pt>
                <c:pt idx="16">
                  <c:v>340</c:v>
                </c:pt>
                <c:pt idx="17">
                  <c:v>350</c:v>
                </c:pt>
                <c:pt idx="18">
                  <c:v>360</c:v>
                </c:pt>
                <c:pt idx="19">
                  <c:v>360</c:v>
                </c:pt>
                <c:pt idx="20">
                  <c:v>365</c:v>
                </c:pt>
                <c:pt idx="21">
                  <c:v>370</c:v>
                </c:pt>
                <c:pt idx="22">
                  <c:v>375</c:v>
                </c:pt>
                <c:pt idx="23">
                  <c:v>380</c:v>
                </c:pt>
                <c:pt idx="24">
                  <c:v>385</c:v>
                </c:pt>
                <c:pt idx="25">
                  <c:v>390</c:v>
                </c:pt>
                <c:pt idx="26">
                  <c:v>395</c:v>
                </c:pt>
                <c:pt idx="27">
                  <c:v>400</c:v>
                </c:pt>
                <c:pt idx="28">
                  <c:v>405</c:v>
                </c:pt>
                <c:pt idx="29">
                  <c:v>410</c:v>
                </c:pt>
                <c:pt idx="30">
                  <c:v>415</c:v>
                </c:pt>
                <c:pt idx="31">
                  <c:v>420</c:v>
                </c:pt>
                <c:pt idx="32">
                  <c:v>425</c:v>
                </c:pt>
                <c:pt idx="33">
                  <c:v>430</c:v>
                </c:pt>
                <c:pt idx="34">
                  <c:v>435</c:v>
                </c:pt>
                <c:pt idx="35">
                  <c:v>440</c:v>
                </c:pt>
                <c:pt idx="36">
                  <c:v>445</c:v>
                </c:pt>
              </c:numCache>
            </c:numRef>
          </c:xVal>
          <c:yVal>
            <c:numRef>
              <c:f>'NO-Formation'!$G$25:$G$62</c:f>
              <c:numCache>
                <c:formatCode>General</c:formatCode>
                <c:ptCount val="37"/>
                <c:pt idx="0">
                  <c:v>325</c:v>
                </c:pt>
                <c:pt idx="1">
                  <c:v>325.47933250959375</c:v>
                </c:pt>
                <c:pt idx="2">
                  <c:v>326.93692315102061</c:v>
                </c:pt>
                <c:pt idx="3">
                  <c:v>329.43218610901198</c:v>
                </c:pt>
                <c:pt idx="4">
                  <c:v>333.06643437245197</c:v>
                </c:pt>
                <c:pt idx="5">
                  <c:v>337.98692317228</c:v>
                </c:pt>
                <c:pt idx="6">
                  <c:v>344.39374942662408</c:v>
                </c:pt>
                <c:pt idx="7">
                  <c:v>352.55091713121118</c:v>
                </c:pt>
                <c:pt idx="8">
                  <c:v>362.80340032599838</c:v>
                </c:pt>
                <c:pt idx="9">
                  <c:v>375.60268085208514</c:v>
                </c:pt>
                <c:pt idx="10">
                  <c:v>391.54383819728582</c:v>
                </c:pt>
                <c:pt idx="11">
                  <c:v>411.4168947684783</c:v>
                </c:pt>
                <c:pt idx="12">
                  <c:v>436.27009875336051</c:v>
                </c:pt>
                <c:pt idx="13">
                  <c:v>467.4597594226891</c:v>
                </c:pt>
                <c:pt idx="14">
                  <c:v>506.57297973097127</c:v>
                </c:pt>
                <c:pt idx="15">
                  <c:v>554.80297517895178</c:v>
                </c:pt>
                <c:pt idx="16">
                  <c:v>610.4826556547946</c:v>
                </c:pt>
                <c:pt idx="17">
                  <c:v>662.58775777265294</c:v>
                </c:pt>
                <c:pt idx="18">
                  <c:v>685.75303139301877</c:v>
                </c:pt>
                <c:pt idx="19">
                  <c:v>2482.3315380870617</c:v>
                </c:pt>
                <c:pt idx="20">
                  <c:v>2460.022103721129</c:v>
                </c:pt>
                <c:pt idx="21">
                  <c:v>2398.4764376882526</c:v>
                </c:pt>
                <c:pt idx="22">
                  <c:v>2310.5027344405544</c:v>
                </c:pt>
                <c:pt idx="23">
                  <c:v>2209.8631434536414</c:v>
                </c:pt>
                <c:pt idx="24">
                  <c:v>2107.0233327493997</c:v>
                </c:pt>
                <c:pt idx="25">
                  <c:v>2008.3103678209518</c:v>
                </c:pt>
                <c:pt idx="26">
                  <c:v>1916.839738804355</c:v>
                </c:pt>
                <c:pt idx="27">
                  <c:v>1833.724426087502</c:v>
                </c:pt>
                <c:pt idx="28">
                  <c:v>1758.9898429170642</c:v>
                </c:pt>
                <c:pt idx="29">
                  <c:v>1692.1399548819331</c:v>
                </c:pt>
                <c:pt idx="30">
                  <c:v>1632.4718416708906</c:v>
                </c:pt>
                <c:pt idx="31">
                  <c:v>1579.237678410135</c:v>
                </c:pt>
                <c:pt idx="32">
                  <c:v>1531.7217393311978</c:v>
                </c:pt>
                <c:pt idx="33">
                  <c:v>1489.2725025379114</c:v>
                </c:pt>
                <c:pt idx="34">
                  <c:v>1451.3120721646203</c:v>
                </c:pt>
                <c:pt idx="35">
                  <c:v>1417.3347744834703</c:v>
                </c:pt>
                <c:pt idx="36">
                  <c:v>1386.9010835158495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65280"/>
        <c:axId val="212465856"/>
      </c:scatterChart>
      <c:scatterChart>
        <c:scatterStyle val="smoothMarker"/>
        <c:varyColors val="0"/>
        <c:ser>
          <c:idx val="1"/>
          <c:order val="1"/>
          <c:tx>
            <c:strRef>
              <c:f>'NO-Formation'!$H$24</c:f>
              <c:strCache>
                <c:ptCount val="1"/>
                <c:pt idx="0">
                  <c:v>k1(phi)</c:v>
                </c:pt>
              </c:strCache>
            </c:strRef>
          </c:tx>
          <c:marker>
            <c:symbol val="none"/>
          </c:marker>
          <c:xVal>
            <c:numRef>
              <c:f>'NO-Formation'!$A$25:$A$62</c:f>
              <c:numCache>
                <c:formatCode>General</c:formatCode>
                <c:ptCount val="37"/>
                <c:pt idx="0">
                  <c:v>180</c:v>
                </c:pt>
                <c:pt idx="1">
                  <c:v>190</c:v>
                </c:pt>
                <c:pt idx="2">
                  <c:v>200</c:v>
                </c:pt>
                <c:pt idx="3">
                  <c:v>210</c:v>
                </c:pt>
                <c:pt idx="4">
                  <c:v>220</c:v>
                </c:pt>
                <c:pt idx="5">
                  <c:v>230</c:v>
                </c:pt>
                <c:pt idx="6">
                  <c:v>240</c:v>
                </c:pt>
                <c:pt idx="7">
                  <c:v>250</c:v>
                </c:pt>
                <c:pt idx="8">
                  <c:v>260</c:v>
                </c:pt>
                <c:pt idx="9">
                  <c:v>270</c:v>
                </c:pt>
                <c:pt idx="10">
                  <c:v>280</c:v>
                </c:pt>
                <c:pt idx="11">
                  <c:v>290</c:v>
                </c:pt>
                <c:pt idx="12">
                  <c:v>300</c:v>
                </c:pt>
                <c:pt idx="13">
                  <c:v>310</c:v>
                </c:pt>
                <c:pt idx="14">
                  <c:v>320</c:v>
                </c:pt>
                <c:pt idx="15">
                  <c:v>330</c:v>
                </c:pt>
                <c:pt idx="16">
                  <c:v>340</c:v>
                </c:pt>
                <c:pt idx="17">
                  <c:v>350</c:v>
                </c:pt>
                <c:pt idx="18">
                  <c:v>360</c:v>
                </c:pt>
                <c:pt idx="19">
                  <c:v>360</c:v>
                </c:pt>
                <c:pt idx="20">
                  <c:v>365</c:v>
                </c:pt>
                <c:pt idx="21">
                  <c:v>370</c:v>
                </c:pt>
                <c:pt idx="22">
                  <c:v>375</c:v>
                </c:pt>
                <c:pt idx="23">
                  <c:v>380</c:v>
                </c:pt>
                <c:pt idx="24">
                  <c:v>385</c:v>
                </c:pt>
                <c:pt idx="25">
                  <c:v>390</c:v>
                </c:pt>
                <c:pt idx="26">
                  <c:v>395</c:v>
                </c:pt>
                <c:pt idx="27">
                  <c:v>400</c:v>
                </c:pt>
                <c:pt idx="28">
                  <c:v>405</c:v>
                </c:pt>
                <c:pt idx="29">
                  <c:v>410</c:v>
                </c:pt>
                <c:pt idx="30">
                  <c:v>415</c:v>
                </c:pt>
                <c:pt idx="31">
                  <c:v>420</c:v>
                </c:pt>
                <c:pt idx="32">
                  <c:v>425</c:v>
                </c:pt>
                <c:pt idx="33">
                  <c:v>430</c:v>
                </c:pt>
                <c:pt idx="34">
                  <c:v>435</c:v>
                </c:pt>
                <c:pt idx="35">
                  <c:v>440</c:v>
                </c:pt>
                <c:pt idx="36">
                  <c:v>445</c:v>
                </c:pt>
              </c:numCache>
            </c:numRef>
          </c:xVal>
          <c:yVal>
            <c:numRef>
              <c:f>'NO-Formation'!$H$25:$H$62</c:f>
              <c:numCache>
                <c:formatCode>General</c:formatCode>
                <c:ptCount val="3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467008"/>
        <c:axId val="212466432"/>
      </c:scatterChart>
      <c:valAx>
        <c:axId val="212465280"/>
        <c:scaling>
          <c:orientation val="minMax"/>
          <c:min val="180"/>
        </c:scaling>
        <c:delete val="0"/>
        <c:axPos val="b"/>
        <c:numFmt formatCode="General" sourceLinked="1"/>
        <c:majorTickMark val="out"/>
        <c:minorTickMark val="none"/>
        <c:tickLblPos val="nextTo"/>
        <c:crossAx val="212465856"/>
        <c:crosses val="autoZero"/>
        <c:crossBetween val="midCat"/>
      </c:valAx>
      <c:valAx>
        <c:axId val="2124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465280"/>
        <c:crosses val="autoZero"/>
        <c:crossBetween val="midCat"/>
      </c:valAx>
      <c:valAx>
        <c:axId val="2124664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2467008"/>
        <c:crosses val="max"/>
        <c:crossBetween val="midCat"/>
      </c:valAx>
      <c:valAx>
        <c:axId val="21246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2466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'NO-Formation'!$R$24</c:f>
              <c:strCache>
                <c:ptCount val="1"/>
                <c:pt idx="0">
                  <c:v>Summe NO [ppm]</c:v>
                </c:pt>
              </c:strCache>
            </c:strRef>
          </c:tx>
          <c:marker>
            <c:symbol val="none"/>
          </c:marker>
          <c:xVal>
            <c:numRef>
              <c:f>'NO-Formation'!$A$25:$A$81</c:f>
              <c:numCache>
                <c:formatCode>General</c:formatCode>
                <c:ptCount val="56"/>
                <c:pt idx="0">
                  <c:v>180</c:v>
                </c:pt>
                <c:pt idx="1">
                  <c:v>190</c:v>
                </c:pt>
                <c:pt idx="2">
                  <c:v>200</c:v>
                </c:pt>
                <c:pt idx="3">
                  <c:v>210</c:v>
                </c:pt>
                <c:pt idx="4">
                  <c:v>220</c:v>
                </c:pt>
                <c:pt idx="5">
                  <c:v>230</c:v>
                </c:pt>
                <c:pt idx="6">
                  <c:v>240</c:v>
                </c:pt>
                <c:pt idx="7">
                  <c:v>250</c:v>
                </c:pt>
                <c:pt idx="8">
                  <c:v>260</c:v>
                </c:pt>
                <c:pt idx="9">
                  <c:v>270</c:v>
                </c:pt>
                <c:pt idx="10">
                  <c:v>280</c:v>
                </c:pt>
                <c:pt idx="11">
                  <c:v>290</c:v>
                </c:pt>
                <c:pt idx="12">
                  <c:v>300</c:v>
                </c:pt>
                <c:pt idx="13">
                  <c:v>310</c:v>
                </c:pt>
                <c:pt idx="14">
                  <c:v>320</c:v>
                </c:pt>
                <c:pt idx="15">
                  <c:v>330</c:v>
                </c:pt>
                <c:pt idx="16">
                  <c:v>340</c:v>
                </c:pt>
                <c:pt idx="17">
                  <c:v>350</c:v>
                </c:pt>
                <c:pt idx="18">
                  <c:v>360</c:v>
                </c:pt>
                <c:pt idx="19">
                  <c:v>360</c:v>
                </c:pt>
                <c:pt idx="20">
                  <c:v>365</c:v>
                </c:pt>
                <c:pt idx="21">
                  <c:v>370</c:v>
                </c:pt>
                <c:pt idx="22">
                  <c:v>375</c:v>
                </c:pt>
                <c:pt idx="23">
                  <c:v>380</c:v>
                </c:pt>
                <c:pt idx="24">
                  <c:v>385</c:v>
                </c:pt>
                <c:pt idx="25">
                  <c:v>390</c:v>
                </c:pt>
                <c:pt idx="26">
                  <c:v>395</c:v>
                </c:pt>
                <c:pt idx="27">
                  <c:v>400</c:v>
                </c:pt>
                <c:pt idx="28">
                  <c:v>405</c:v>
                </c:pt>
                <c:pt idx="29">
                  <c:v>410</c:v>
                </c:pt>
                <c:pt idx="30">
                  <c:v>415</c:v>
                </c:pt>
                <c:pt idx="31">
                  <c:v>420</c:v>
                </c:pt>
                <c:pt idx="32">
                  <c:v>425</c:v>
                </c:pt>
                <c:pt idx="33">
                  <c:v>430</c:v>
                </c:pt>
                <c:pt idx="34">
                  <c:v>435</c:v>
                </c:pt>
                <c:pt idx="35">
                  <c:v>440</c:v>
                </c:pt>
                <c:pt idx="36">
                  <c:v>445</c:v>
                </c:pt>
                <c:pt idx="37">
                  <c:v>450</c:v>
                </c:pt>
                <c:pt idx="38">
                  <c:v>455</c:v>
                </c:pt>
                <c:pt idx="39">
                  <c:v>460</c:v>
                </c:pt>
                <c:pt idx="40">
                  <c:v>465</c:v>
                </c:pt>
                <c:pt idx="41">
                  <c:v>470</c:v>
                </c:pt>
                <c:pt idx="42">
                  <c:v>475</c:v>
                </c:pt>
                <c:pt idx="43">
                  <c:v>480</c:v>
                </c:pt>
                <c:pt idx="44">
                  <c:v>485</c:v>
                </c:pt>
                <c:pt idx="45">
                  <c:v>490</c:v>
                </c:pt>
                <c:pt idx="46">
                  <c:v>495</c:v>
                </c:pt>
                <c:pt idx="47">
                  <c:v>500</c:v>
                </c:pt>
                <c:pt idx="48">
                  <c:v>505</c:v>
                </c:pt>
                <c:pt idx="49">
                  <c:v>510</c:v>
                </c:pt>
                <c:pt idx="50">
                  <c:v>515</c:v>
                </c:pt>
                <c:pt idx="51">
                  <c:v>520</c:v>
                </c:pt>
                <c:pt idx="52">
                  <c:v>525</c:v>
                </c:pt>
                <c:pt idx="53">
                  <c:v>530</c:v>
                </c:pt>
                <c:pt idx="54">
                  <c:v>535</c:v>
                </c:pt>
                <c:pt idx="55">
                  <c:v>540</c:v>
                </c:pt>
              </c:numCache>
            </c:numRef>
          </c:xVal>
          <c:yVal>
            <c:numRef>
              <c:f>'NO-Formation'!$R$25:$R$81</c:f>
              <c:numCache>
                <c:formatCode>General</c:formatCode>
                <c:ptCount val="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5152"/>
        <c:axId val="211945728"/>
      </c:scatterChart>
      <c:scatterChart>
        <c:scatterStyle val="smoothMarker"/>
        <c:varyColors val="0"/>
        <c:ser>
          <c:idx val="0"/>
          <c:order val="0"/>
          <c:tx>
            <c:strRef>
              <c:f>'NO-Formation'!$M$24</c:f>
              <c:strCache>
                <c:ptCount val="1"/>
                <c:pt idx="0">
                  <c:v>d(NO)/dt  in [kmol/(m3*s)]</c:v>
                </c:pt>
              </c:strCache>
            </c:strRef>
          </c:tx>
          <c:marker>
            <c:symbol val="none"/>
          </c:marker>
          <c:xVal>
            <c:numRef>
              <c:f>'NO-Formation'!$A$25:$A$81</c:f>
              <c:numCache>
                <c:formatCode>General</c:formatCode>
                <c:ptCount val="56"/>
                <c:pt idx="0">
                  <c:v>180</c:v>
                </c:pt>
                <c:pt idx="1">
                  <c:v>190</c:v>
                </c:pt>
                <c:pt idx="2">
                  <c:v>200</c:v>
                </c:pt>
                <c:pt idx="3">
                  <c:v>210</c:v>
                </c:pt>
                <c:pt idx="4">
                  <c:v>220</c:v>
                </c:pt>
                <c:pt idx="5">
                  <c:v>230</c:v>
                </c:pt>
                <c:pt idx="6">
                  <c:v>240</c:v>
                </c:pt>
                <c:pt idx="7">
                  <c:v>250</c:v>
                </c:pt>
                <c:pt idx="8">
                  <c:v>260</c:v>
                </c:pt>
                <c:pt idx="9">
                  <c:v>270</c:v>
                </c:pt>
                <c:pt idx="10">
                  <c:v>280</c:v>
                </c:pt>
                <c:pt idx="11">
                  <c:v>290</c:v>
                </c:pt>
                <c:pt idx="12">
                  <c:v>300</c:v>
                </c:pt>
                <c:pt idx="13">
                  <c:v>310</c:v>
                </c:pt>
                <c:pt idx="14">
                  <c:v>320</c:v>
                </c:pt>
                <c:pt idx="15">
                  <c:v>330</c:v>
                </c:pt>
                <c:pt idx="16">
                  <c:v>340</c:v>
                </c:pt>
                <c:pt idx="17">
                  <c:v>350</c:v>
                </c:pt>
                <c:pt idx="18">
                  <c:v>360</c:v>
                </c:pt>
                <c:pt idx="19">
                  <c:v>360</c:v>
                </c:pt>
                <c:pt idx="20">
                  <c:v>365</c:v>
                </c:pt>
                <c:pt idx="21">
                  <c:v>370</c:v>
                </c:pt>
                <c:pt idx="22">
                  <c:v>375</c:v>
                </c:pt>
                <c:pt idx="23">
                  <c:v>380</c:v>
                </c:pt>
                <c:pt idx="24">
                  <c:v>385</c:v>
                </c:pt>
                <c:pt idx="25">
                  <c:v>390</c:v>
                </c:pt>
                <c:pt idx="26">
                  <c:v>395</c:v>
                </c:pt>
                <c:pt idx="27">
                  <c:v>400</c:v>
                </c:pt>
                <c:pt idx="28">
                  <c:v>405</c:v>
                </c:pt>
                <c:pt idx="29">
                  <c:v>410</c:v>
                </c:pt>
                <c:pt idx="30">
                  <c:v>415</c:v>
                </c:pt>
                <c:pt idx="31">
                  <c:v>420</c:v>
                </c:pt>
                <c:pt idx="32">
                  <c:v>425</c:v>
                </c:pt>
                <c:pt idx="33">
                  <c:v>430</c:v>
                </c:pt>
                <c:pt idx="34">
                  <c:v>435</c:v>
                </c:pt>
                <c:pt idx="35">
                  <c:v>440</c:v>
                </c:pt>
                <c:pt idx="36">
                  <c:v>445</c:v>
                </c:pt>
                <c:pt idx="37">
                  <c:v>450</c:v>
                </c:pt>
                <c:pt idx="38">
                  <c:v>455</c:v>
                </c:pt>
                <c:pt idx="39">
                  <c:v>460</c:v>
                </c:pt>
                <c:pt idx="40">
                  <c:v>465</c:v>
                </c:pt>
                <c:pt idx="41">
                  <c:v>470</c:v>
                </c:pt>
                <c:pt idx="42">
                  <c:v>475</c:v>
                </c:pt>
                <c:pt idx="43">
                  <c:v>480</c:v>
                </c:pt>
                <c:pt idx="44">
                  <c:v>485</c:v>
                </c:pt>
                <c:pt idx="45">
                  <c:v>490</c:v>
                </c:pt>
                <c:pt idx="46">
                  <c:v>495</c:v>
                </c:pt>
                <c:pt idx="47">
                  <c:v>500</c:v>
                </c:pt>
                <c:pt idx="48">
                  <c:v>505</c:v>
                </c:pt>
                <c:pt idx="49">
                  <c:v>510</c:v>
                </c:pt>
                <c:pt idx="50">
                  <c:v>515</c:v>
                </c:pt>
                <c:pt idx="51">
                  <c:v>520</c:v>
                </c:pt>
                <c:pt idx="52">
                  <c:v>525</c:v>
                </c:pt>
                <c:pt idx="53">
                  <c:v>530</c:v>
                </c:pt>
                <c:pt idx="54">
                  <c:v>535</c:v>
                </c:pt>
                <c:pt idx="55">
                  <c:v>540</c:v>
                </c:pt>
              </c:numCache>
            </c:numRef>
          </c:xVal>
          <c:yVal>
            <c:numRef>
              <c:f>'NO-Formation'!$M$25:$M$81</c:f>
              <c:numCache>
                <c:formatCode>General</c:formatCode>
                <c:ptCount val="56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6880"/>
        <c:axId val="211946304"/>
      </c:scatterChart>
      <c:valAx>
        <c:axId val="211945152"/>
        <c:scaling>
          <c:orientation val="minMax"/>
          <c:max val="540"/>
          <c:min val="180"/>
        </c:scaling>
        <c:delete val="0"/>
        <c:axPos val="b"/>
        <c:numFmt formatCode="General" sourceLinked="1"/>
        <c:majorTickMark val="out"/>
        <c:minorTickMark val="none"/>
        <c:tickLblPos val="nextTo"/>
        <c:crossAx val="211945728"/>
        <c:crosses val="autoZero"/>
        <c:crossBetween val="midCat"/>
      </c:valAx>
      <c:valAx>
        <c:axId val="21194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45152"/>
        <c:crosses val="autoZero"/>
        <c:crossBetween val="midCat"/>
      </c:valAx>
      <c:valAx>
        <c:axId val="2119463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1946880"/>
        <c:crosses val="max"/>
        <c:crossBetween val="midCat"/>
      </c:valAx>
      <c:valAx>
        <c:axId val="21194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1946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k1(T)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'NO-Formation'!$H$24</c:f>
              <c:strCache>
                <c:ptCount val="1"/>
                <c:pt idx="0">
                  <c:v>k1(phi)</c:v>
                </c:pt>
              </c:strCache>
            </c:strRef>
          </c:tx>
          <c:spPr>
            <a:ln w="28575">
              <a:noFill/>
            </a:ln>
          </c:spPr>
          <c:xVal>
            <c:numRef>
              <c:f>'NO-Formation'!$G$25:$G$81</c:f>
              <c:numCache>
                <c:formatCode>General</c:formatCode>
                <c:ptCount val="56"/>
                <c:pt idx="0">
                  <c:v>325</c:v>
                </c:pt>
                <c:pt idx="1">
                  <c:v>325.47933250959375</c:v>
                </c:pt>
                <c:pt idx="2">
                  <c:v>326.93692315102061</c:v>
                </c:pt>
                <c:pt idx="3">
                  <c:v>329.43218610901198</c:v>
                </c:pt>
                <c:pt idx="4">
                  <c:v>333.06643437245197</c:v>
                </c:pt>
                <c:pt idx="5">
                  <c:v>337.98692317228</c:v>
                </c:pt>
                <c:pt idx="6">
                  <c:v>344.39374942662408</c:v>
                </c:pt>
                <c:pt idx="7">
                  <c:v>352.55091713121118</c:v>
                </c:pt>
                <c:pt idx="8">
                  <c:v>362.80340032599838</c:v>
                </c:pt>
                <c:pt idx="9">
                  <c:v>375.60268085208514</c:v>
                </c:pt>
                <c:pt idx="10">
                  <c:v>391.54383819728582</c:v>
                </c:pt>
                <c:pt idx="11">
                  <c:v>411.4168947684783</c:v>
                </c:pt>
                <c:pt idx="12">
                  <c:v>436.27009875336051</c:v>
                </c:pt>
                <c:pt idx="13">
                  <c:v>467.4597594226891</c:v>
                </c:pt>
                <c:pt idx="14">
                  <c:v>506.57297973097127</c:v>
                </c:pt>
                <c:pt idx="15">
                  <c:v>554.80297517895178</c:v>
                </c:pt>
                <c:pt idx="16">
                  <c:v>610.4826556547946</c:v>
                </c:pt>
                <c:pt idx="17">
                  <c:v>662.58775777265294</c:v>
                </c:pt>
                <c:pt idx="18">
                  <c:v>685.75303139301877</c:v>
                </c:pt>
                <c:pt idx="19">
                  <c:v>2482.3315380870617</c:v>
                </c:pt>
                <c:pt idx="20">
                  <c:v>2460.022103721129</c:v>
                </c:pt>
                <c:pt idx="21">
                  <c:v>2398.4764376882526</c:v>
                </c:pt>
                <c:pt idx="22">
                  <c:v>2310.5027344405544</c:v>
                </c:pt>
                <c:pt idx="23">
                  <c:v>2209.8631434536414</c:v>
                </c:pt>
                <c:pt idx="24">
                  <c:v>2107.0233327493997</c:v>
                </c:pt>
                <c:pt idx="25">
                  <c:v>2008.3103678209518</c:v>
                </c:pt>
                <c:pt idx="26">
                  <c:v>1916.839738804355</c:v>
                </c:pt>
                <c:pt idx="27">
                  <c:v>1833.724426087502</c:v>
                </c:pt>
                <c:pt idx="28">
                  <c:v>1758.9898429170642</c:v>
                </c:pt>
                <c:pt idx="29">
                  <c:v>1692.1399548819331</c:v>
                </c:pt>
                <c:pt idx="30">
                  <c:v>1632.4718416708906</c:v>
                </c:pt>
                <c:pt idx="31">
                  <c:v>1579.237678410135</c:v>
                </c:pt>
                <c:pt idx="32">
                  <c:v>1531.7217393311978</c:v>
                </c:pt>
                <c:pt idx="33">
                  <c:v>1489.2725025379114</c:v>
                </c:pt>
                <c:pt idx="34">
                  <c:v>1451.3120721646203</c:v>
                </c:pt>
                <c:pt idx="35">
                  <c:v>1417.3347744834703</c:v>
                </c:pt>
                <c:pt idx="36">
                  <c:v>1386.9010835158495</c:v>
                </c:pt>
                <c:pt idx="37">
                  <c:v>1359.6299801623779</c:v>
                </c:pt>
                <c:pt idx="38">
                  <c:v>1335.1912441055292</c:v>
                </c:pt>
                <c:pt idx="39">
                  <c:v>1313.2983472563037</c:v>
                </c:pt>
                <c:pt idx="40">
                  <c:v>1293.702196780868</c:v>
                </c:pt>
                <c:pt idx="41">
                  <c:v>1276.1857699681957</c:v>
                </c:pt>
                <c:pt idx="42">
                  <c:v>1260.5595889830338</c:v>
                </c:pt>
                <c:pt idx="43">
                  <c:v>1246.6579462071707</c:v>
                </c:pt>
                <c:pt idx="44">
                  <c:v>1234.3357816176756</c:v>
                </c:pt>
                <c:pt idx="45">
                  <c:v>1223.4661174552132</c:v>
                </c:pt>
                <c:pt idx="46">
                  <c:v>1213.9379645838887</c:v>
                </c:pt>
                <c:pt idx="47">
                  <c:v>1205.6546256039769</c:v>
                </c:pt>
                <c:pt idx="48">
                  <c:v>1198.5323301687356</c:v>
                </c:pt>
                <c:pt idx="49">
                  <c:v>1192.4991473653326</c:v>
                </c:pt>
                <c:pt idx="50">
                  <c:v>1187.4941282808679</c:v>
                </c:pt>
                <c:pt idx="51">
                  <c:v>1183.4666390819061</c:v>
                </c:pt>
                <c:pt idx="52">
                  <c:v>1180.3758512921543</c:v>
                </c:pt>
                <c:pt idx="53">
                  <c:v>1178.1903616858231</c:v>
                </c:pt>
                <c:pt idx="54">
                  <c:v>1176.8879195332977</c:v>
                </c:pt>
                <c:pt idx="55">
                  <c:v>1176.4552440103273</c:v>
                </c:pt>
              </c:numCache>
            </c:numRef>
          </c:xVal>
          <c:yVal>
            <c:numRef>
              <c:f>'NO-Formation'!$H$25:$H$81</c:f>
              <c:numCache>
                <c:formatCode>General</c:formatCode>
                <c:ptCount val="5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49184"/>
        <c:axId val="211949760"/>
      </c:scatterChart>
      <c:valAx>
        <c:axId val="2119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949760"/>
        <c:crosses val="autoZero"/>
        <c:crossBetween val="midCat"/>
      </c:valAx>
      <c:valAx>
        <c:axId val="21194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49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</xdr:row>
          <xdr:rowOff>0</xdr:rowOff>
        </xdr:from>
        <xdr:to>
          <xdr:col>10</xdr:col>
          <xdr:colOff>685800</xdr:colOff>
          <xdr:row>4</xdr:row>
          <xdr:rowOff>142875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66675</xdr:rowOff>
        </xdr:from>
        <xdr:to>
          <xdr:col>10</xdr:col>
          <xdr:colOff>657225</xdr:colOff>
          <xdr:row>9</xdr:row>
          <xdr:rowOff>19050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733425</xdr:colOff>
          <xdr:row>1</xdr:row>
          <xdr:rowOff>47625</xdr:rowOff>
        </xdr:from>
        <xdr:to>
          <xdr:col>15</xdr:col>
          <xdr:colOff>647700</xdr:colOff>
          <xdr:row>5</xdr:row>
          <xdr:rowOff>76200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723900</xdr:colOff>
          <xdr:row>5</xdr:row>
          <xdr:rowOff>38100</xdr:rowOff>
        </xdr:from>
        <xdr:to>
          <xdr:col>15</xdr:col>
          <xdr:colOff>590550</xdr:colOff>
          <xdr:row>9</xdr:row>
          <xdr:rowOff>66675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685800</xdr:colOff>
          <xdr:row>9</xdr:row>
          <xdr:rowOff>66675</xdr:rowOff>
        </xdr:from>
        <xdr:to>
          <xdr:col>14</xdr:col>
          <xdr:colOff>685800</xdr:colOff>
          <xdr:row>13</xdr:row>
          <xdr:rowOff>28575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666750</xdr:colOff>
          <xdr:row>13</xdr:row>
          <xdr:rowOff>133350</xdr:rowOff>
        </xdr:from>
        <xdr:to>
          <xdr:col>17</xdr:col>
          <xdr:colOff>647700</xdr:colOff>
          <xdr:row>15</xdr:row>
          <xdr:rowOff>114300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13</xdr:row>
      <xdr:rowOff>9525</xdr:rowOff>
    </xdr:from>
    <xdr:to>
      <xdr:col>10</xdr:col>
      <xdr:colOff>581025</xdr:colOff>
      <xdr:row>27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685799</xdr:colOff>
      <xdr:row>2</xdr:row>
      <xdr:rowOff>19050</xdr:rowOff>
    </xdr:from>
    <xdr:to>
      <xdr:col>13</xdr:col>
      <xdr:colOff>76200</xdr:colOff>
      <xdr:row>29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171450</xdr:rowOff>
    </xdr:from>
    <xdr:to>
      <xdr:col>10</xdr:col>
      <xdr:colOff>752475</xdr:colOff>
      <xdr:row>15</xdr:row>
      <xdr:rowOff>57150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504824</xdr:colOff>
      <xdr:row>16</xdr:row>
      <xdr:rowOff>180975</xdr:rowOff>
    </xdr:from>
    <xdr:to>
      <xdr:col>10</xdr:col>
      <xdr:colOff>761999</xdr:colOff>
      <xdr:row>33</xdr:row>
      <xdr:rowOff>47625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5</xdr:col>
      <xdr:colOff>104775</xdr:colOff>
      <xdr:row>15</xdr:row>
      <xdr:rowOff>76200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dungsenthalpie%20_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ynom_Bildungsenthalpie"/>
      <sheetName val="Motorgrößen"/>
      <sheetName val="Rechenwerte"/>
      <sheetName val="Tabelle4"/>
    </sheetNames>
    <sheetDataSet>
      <sheetData sheetId="0">
        <row r="1">
          <cell r="C1" t="str">
            <v>delta G [J/mol] freie Bildungsenthalpie O Radikal</v>
          </cell>
          <cell r="D1" t="str">
            <v>Kp</v>
          </cell>
        </row>
        <row r="2">
          <cell r="A2">
            <v>200</v>
          </cell>
          <cell r="C2">
            <v>237374</v>
          </cell>
          <cell r="D2">
            <v>1.0046937713224318E-62</v>
          </cell>
        </row>
        <row r="3">
          <cell r="A3">
            <v>300</v>
          </cell>
          <cell r="C3">
            <v>231670</v>
          </cell>
          <cell r="D3">
            <v>4.5836660093149837E-41</v>
          </cell>
        </row>
        <row r="4">
          <cell r="A4">
            <v>400</v>
          </cell>
          <cell r="C4">
            <v>225719</v>
          </cell>
          <cell r="D4">
            <v>3.33471442259258E-30</v>
          </cell>
        </row>
        <row r="5">
          <cell r="A5">
            <v>500</v>
          </cell>
          <cell r="C5">
            <v>219605</v>
          </cell>
          <cell r="D5">
            <v>1.1407623132079658E-23</v>
          </cell>
        </row>
        <row r="6">
          <cell r="A6">
            <v>600</v>
          </cell>
          <cell r="C6">
            <v>213375</v>
          </cell>
          <cell r="D6">
            <v>2.6508505183829826E-19</v>
          </cell>
        </row>
        <row r="7">
          <cell r="A7">
            <v>700</v>
          </cell>
          <cell r="C7">
            <v>207060</v>
          </cell>
          <cell r="D7">
            <v>3.5353746259576602E-16</v>
          </cell>
        </row>
        <row r="8">
          <cell r="A8">
            <v>800</v>
          </cell>
          <cell r="C8">
            <v>200679</v>
          </cell>
          <cell r="D8">
            <v>7.8801159084695757E-14</v>
          </cell>
        </row>
        <row r="9">
          <cell r="A9">
            <v>900</v>
          </cell>
          <cell r="C9">
            <v>194246</v>
          </cell>
          <cell r="D9">
            <v>5.3192268356267598E-12</v>
          </cell>
        </row>
        <row r="10">
          <cell r="A10">
            <v>1000</v>
          </cell>
          <cell r="C10">
            <v>187772</v>
          </cell>
          <cell r="D10">
            <v>1.5539710826449988E-10</v>
          </cell>
        </row>
        <row r="11">
          <cell r="A11">
            <v>1100</v>
          </cell>
          <cell r="C11">
            <v>181263</v>
          </cell>
          <cell r="D11">
            <v>2.4673326913154957E-9</v>
          </cell>
        </row>
        <row r="12">
          <cell r="A12">
            <v>1200</v>
          </cell>
          <cell r="C12">
            <v>174724</v>
          </cell>
          <cell r="D12">
            <v>2.4784925033914361E-8</v>
          </cell>
        </row>
        <row r="13">
          <cell r="A13">
            <v>1300</v>
          </cell>
          <cell r="C13">
            <v>168159</v>
          </cell>
          <cell r="D13">
            <v>1.7500262392714088E-7</v>
          </cell>
        </row>
        <row r="14">
          <cell r="A14">
            <v>1400</v>
          </cell>
          <cell r="C14">
            <v>161572</v>
          </cell>
          <cell r="D14">
            <v>9.3639070090751023E-7</v>
          </cell>
        </row>
        <row r="15">
          <cell r="A15">
            <v>1500</v>
          </cell>
          <cell r="C15">
            <v>154966</v>
          </cell>
          <cell r="D15">
            <v>4.0124498345193126E-6</v>
          </cell>
        </row>
        <row r="16">
          <cell r="A16">
            <v>1600</v>
          </cell>
          <cell r="C16">
            <v>148342</v>
          </cell>
          <cell r="D16">
            <v>1.4353431291531682E-5</v>
          </cell>
        </row>
        <row r="17">
          <cell r="A17">
            <v>1700</v>
          </cell>
          <cell r="C17">
            <v>141702</v>
          </cell>
          <cell r="D17">
            <v>4.4245633620693979E-5</v>
          </cell>
        </row>
        <row r="18">
          <cell r="A18">
            <v>1800</v>
          </cell>
          <cell r="C18">
            <v>135049</v>
          </cell>
          <cell r="D18">
            <v>1.2045879458041316E-4</v>
          </cell>
        </row>
        <row r="19">
          <cell r="A19">
            <v>1900</v>
          </cell>
          <cell r="C19">
            <v>128383.99999999999</v>
          </cell>
          <cell r="D19">
            <v>2.9535913452246308E-4</v>
          </cell>
        </row>
        <row r="20">
          <cell r="A20">
            <v>2000</v>
          </cell>
          <cell r="C20">
            <v>121709</v>
          </cell>
          <cell r="D20">
            <v>6.6247927117133387E-4</v>
          </cell>
        </row>
        <row r="21">
          <cell r="A21">
            <v>2100</v>
          </cell>
          <cell r="C21">
            <v>115023</v>
          </cell>
          <cell r="D21">
            <v>1.3767535105150062E-3</v>
          </cell>
        </row>
        <row r="22">
          <cell r="A22">
            <v>2200</v>
          </cell>
          <cell r="C22">
            <v>108329</v>
          </cell>
          <cell r="D22">
            <v>2.6782412074441201E-3</v>
          </cell>
        </row>
        <row r="23">
          <cell r="A23">
            <v>2300</v>
          </cell>
          <cell r="C23">
            <v>101627</v>
          </cell>
          <cell r="D23">
            <v>4.919205959827486E-3</v>
          </cell>
        </row>
        <row r="24">
          <cell r="A24">
            <v>2400</v>
          </cell>
          <cell r="C24">
            <v>94918</v>
          </cell>
          <cell r="D24">
            <v>8.5918938850115759E-3</v>
          </cell>
        </row>
        <row r="25">
          <cell r="A25">
            <v>2500</v>
          </cell>
          <cell r="C25">
            <v>88203</v>
          </cell>
          <cell r="D25">
            <v>1.4355973856637519E-2</v>
          </cell>
        </row>
        <row r="26">
          <cell r="A26">
            <v>2600</v>
          </cell>
          <cell r="C26">
            <v>81483</v>
          </cell>
          <cell r="D26">
            <v>2.3063613326453479E-2</v>
          </cell>
        </row>
        <row r="27">
          <cell r="A27">
            <v>2700</v>
          </cell>
          <cell r="C27">
            <v>74757</v>
          </cell>
          <cell r="D27">
            <v>3.5783816693207959E-2</v>
          </cell>
        </row>
        <row r="28">
          <cell r="A28">
            <v>2800</v>
          </cell>
          <cell r="C28">
            <v>68027</v>
          </cell>
          <cell r="D28">
            <v>5.3813957458805163E-2</v>
          </cell>
        </row>
        <row r="29">
          <cell r="A29">
            <v>2900</v>
          </cell>
          <cell r="C29">
            <v>61292</v>
          </cell>
          <cell r="D29">
            <v>7.8699505703025724E-2</v>
          </cell>
        </row>
        <row r="30">
          <cell r="A30">
            <v>3000</v>
          </cell>
          <cell r="C30">
            <v>54554</v>
          </cell>
          <cell r="D30">
            <v>0.11222669579358943</v>
          </cell>
        </row>
        <row r="31">
          <cell r="A31">
            <v>3100</v>
          </cell>
          <cell r="C31">
            <v>47812</v>
          </cell>
          <cell r="D31">
            <v>0.15643872054736535</v>
          </cell>
        </row>
        <row r="32">
          <cell r="A32">
            <v>3200</v>
          </cell>
          <cell r="C32">
            <v>41068</v>
          </cell>
          <cell r="D32">
            <v>0.21360404721481444</v>
          </cell>
        </row>
        <row r="33">
          <cell r="A33">
            <v>3300</v>
          </cell>
          <cell r="C33">
            <v>34320</v>
          </cell>
          <cell r="D33">
            <v>0.28624645946957378</v>
          </cell>
        </row>
        <row r="34">
          <cell r="A34">
            <v>3400</v>
          </cell>
          <cell r="C34">
            <v>27570</v>
          </cell>
          <cell r="D34">
            <v>0.37707107947997898</v>
          </cell>
        </row>
        <row r="35">
          <cell r="A35">
            <v>3500</v>
          </cell>
          <cell r="C35">
            <v>20818</v>
          </cell>
          <cell r="D35">
            <v>0.48898680482201901</v>
          </cell>
        </row>
        <row r="36">
          <cell r="A36">
            <v>3600</v>
          </cell>
          <cell r="C36">
            <v>14063</v>
          </cell>
          <cell r="D36">
            <v>0.62509181609069242</v>
          </cell>
        </row>
        <row r="37">
          <cell r="A37">
            <v>3700</v>
          </cell>
          <cell r="C37">
            <v>7307</v>
          </cell>
          <cell r="D37">
            <v>0.78856939729013531</v>
          </cell>
        </row>
        <row r="38">
          <cell r="A38">
            <v>3800</v>
          </cell>
          <cell r="C38">
            <v>548</v>
          </cell>
          <cell r="D38">
            <v>0.98280406251661623</v>
          </cell>
        </row>
        <row r="39">
          <cell r="A39">
            <v>3900</v>
          </cell>
          <cell r="C39">
            <v>-6212</v>
          </cell>
          <cell r="D39">
            <v>1.2111652756895064</v>
          </cell>
        </row>
        <row r="40">
          <cell r="A40">
            <v>4000</v>
          </cell>
          <cell r="C40">
            <v>-12974</v>
          </cell>
          <cell r="D40">
            <v>1.477165561275315</v>
          </cell>
        </row>
        <row r="41">
          <cell r="A41">
            <v>4100</v>
          </cell>
          <cell r="C41">
            <v>-19737</v>
          </cell>
          <cell r="D41">
            <v>1.7842739817746494</v>
          </cell>
        </row>
        <row r="42">
          <cell r="A42">
            <v>4200</v>
          </cell>
          <cell r="C42">
            <v>-26501</v>
          </cell>
          <cell r="D42">
            <v>2.1359940834252749</v>
          </cell>
        </row>
        <row r="43">
          <cell r="A43">
            <v>4300</v>
          </cell>
          <cell r="C43">
            <v>-33267</v>
          </cell>
          <cell r="D43">
            <v>2.5358788129103456</v>
          </cell>
        </row>
        <row r="44">
          <cell r="A44">
            <v>4400</v>
          </cell>
          <cell r="C44">
            <v>-40034</v>
          </cell>
          <cell r="D44">
            <v>2.987315967028878</v>
          </cell>
        </row>
        <row r="45">
          <cell r="A45">
            <v>4500</v>
          </cell>
          <cell r="C45">
            <v>-46802</v>
          </cell>
          <cell r="D45">
            <v>3.4936797493894063</v>
          </cell>
        </row>
        <row r="46">
          <cell r="A46">
            <v>4600</v>
          </cell>
          <cell r="C46">
            <v>-53571</v>
          </cell>
          <cell r="D46">
            <v>4.0582591356305207</v>
          </cell>
        </row>
        <row r="47">
          <cell r="A47">
            <v>4700</v>
          </cell>
          <cell r="C47">
            <v>-60342</v>
          </cell>
          <cell r="D47">
            <v>4.684360564923896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T102"/>
  <sheetViews>
    <sheetView tabSelected="1" workbookViewId="0">
      <selection activeCell="F12" sqref="F12"/>
    </sheetView>
  </sheetViews>
  <sheetFormatPr baseColWidth="10" defaultRowHeight="15" x14ac:dyDescent="0.25"/>
  <cols>
    <col min="1" max="1" width="10.140625" customWidth="1"/>
    <col min="2" max="2" width="12" customWidth="1"/>
    <col min="3" max="3" width="12" bestFit="1" customWidth="1"/>
    <col min="4" max="7" width="11.5703125" bestFit="1" customWidth="1"/>
    <col min="8" max="8" width="14.5703125" customWidth="1"/>
    <col min="13" max="13" width="13.5703125" customWidth="1"/>
    <col min="15" max="15" width="14" customWidth="1"/>
    <col min="18" max="18" width="12" bestFit="1" customWidth="1"/>
    <col min="20" max="20" width="12.140625" style="8" customWidth="1"/>
  </cols>
  <sheetData>
    <row r="1" spans="1:9" x14ac:dyDescent="0.25">
      <c r="A1" t="s">
        <v>1</v>
      </c>
      <c r="B1">
        <v>165</v>
      </c>
      <c r="C1">
        <f>B1/1000</f>
        <v>0.16500000000000001</v>
      </c>
      <c r="G1" t="s">
        <v>26</v>
      </c>
    </row>
    <row r="2" spans="1:9" x14ac:dyDescent="0.25">
      <c r="A2" t="s">
        <v>2</v>
      </c>
      <c r="B2">
        <v>155</v>
      </c>
      <c r="C2">
        <f>B2/1000</f>
        <v>0.155</v>
      </c>
      <c r="G2" s="9" t="s">
        <v>45</v>
      </c>
    </row>
    <row r="3" spans="1:9" x14ac:dyDescent="0.25">
      <c r="A3" t="s">
        <v>3</v>
      </c>
      <c r="B3" s="25">
        <v>15</v>
      </c>
    </row>
    <row r="4" spans="1:9" x14ac:dyDescent="0.25">
      <c r="A4" t="s">
        <v>4</v>
      </c>
      <c r="B4">
        <v>100000</v>
      </c>
    </row>
    <row r="5" spans="1:9" x14ac:dyDescent="0.25">
      <c r="A5" t="s">
        <v>5</v>
      </c>
      <c r="B5">
        <v>325</v>
      </c>
    </row>
    <row r="6" spans="1:9" x14ac:dyDescent="0.25">
      <c r="A6" t="s">
        <v>6</v>
      </c>
      <c r="B6" s="1">
        <v>42700000</v>
      </c>
      <c r="G6" t="s">
        <v>46</v>
      </c>
    </row>
    <row r="7" spans="1:9" x14ac:dyDescent="0.25">
      <c r="A7" t="s">
        <v>7</v>
      </c>
      <c r="B7" s="26">
        <v>2</v>
      </c>
    </row>
    <row r="8" spans="1:9" x14ac:dyDescent="0.25">
      <c r="A8" t="s">
        <v>8</v>
      </c>
      <c r="B8" s="23">
        <v>14.6</v>
      </c>
    </row>
    <row r="9" spans="1:9" x14ac:dyDescent="0.25">
      <c r="A9" t="s">
        <v>9</v>
      </c>
      <c r="B9" s="24">
        <f>B10/B11</f>
        <v>1.2757306226175349</v>
      </c>
    </row>
    <row r="10" spans="1:9" x14ac:dyDescent="0.25">
      <c r="A10" t="s">
        <v>10</v>
      </c>
      <c r="B10" s="23">
        <v>1004</v>
      </c>
      <c r="C10" s="1"/>
    </row>
    <row r="11" spans="1:9" x14ac:dyDescent="0.25">
      <c r="A11" t="s">
        <v>11</v>
      </c>
      <c r="B11" s="23">
        <v>787</v>
      </c>
    </row>
    <row r="12" spans="1:9" x14ac:dyDescent="0.25">
      <c r="A12" t="s">
        <v>12</v>
      </c>
      <c r="B12" s="23">
        <v>287</v>
      </c>
    </row>
    <row r="13" spans="1:9" ht="15.75" thickBot="1" x14ac:dyDescent="0.3">
      <c r="A13" t="s">
        <v>27</v>
      </c>
      <c r="B13" s="23">
        <v>0.25</v>
      </c>
      <c r="C13" t="s">
        <v>28</v>
      </c>
    </row>
    <row r="14" spans="1:9" ht="16.5" thickBot="1" x14ac:dyDescent="0.3">
      <c r="A14" t="s">
        <v>36</v>
      </c>
      <c r="B14" s="26">
        <v>2000</v>
      </c>
      <c r="C14" t="s">
        <v>53</v>
      </c>
      <c r="G14" s="27" t="s">
        <v>60</v>
      </c>
      <c r="H14" s="28">
        <f>R81</f>
        <v>0</v>
      </c>
      <c r="I14" s="29" t="s">
        <v>52</v>
      </c>
    </row>
    <row r="15" spans="1:9" x14ac:dyDescent="0.25">
      <c r="A15" t="s">
        <v>42</v>
      </c>
      <c r="B15" s="1">
        <f>1/(B14/60)/72</f>
        <v>4.1666666666666664E-4</v>
      </c>
      <c r="C15" t="s">
        <v>2</v>
      </c>
    </row>
    <row r="16" spans="1:9" x14ac:dyDescent="0.25">
      <c r="A16" t="s">
        <v>14</v>
      </c>
      <c r="B16">
        <f>PI()/4*C1^2*C2</f>
        <v>3.3142820747668078E-3</v>
      </c>
      <c r="C16" t="s">
        <v>16</v>
      </c>
    </row>
    <row r="17" spans="1:20" x14ac:dyDescent="0.25">
      <c r="A17" t="s">
        <v>13</v>
      </c>
      <c r="B17">
        <f>B16/(B3-1)</f>
        <v>2.3673443391191484E-4</v>
      </c>
      <c r="C17" t="s">
        <v>17</v>
      </c>
    </row>
    <row r="18" spans="1:20" x14ac:dyDescent="0.25">
      <c r="A18" s="2" t="s">
        <v>15</v>
      </c>
      <c r="B18" s="2">
        <f>B17+B16</f>
        <v>3.5510165086787226E-3</v>
      </c>
      <c r="C18" t="s">
        <v>20</v>
      </c>
    </row>
    <row r="19" spans="1:20" x14ac:dyDescent="0.25">
      <c r="R19">
        <f>1.82*10^14*EXP(-38370/2500)/10^3</f>
        <v>39311.505822263483</v>
      </c>
    </row>
    <row r="20" spans="1:20" ht="18" x14ac:dyDescent="0.35">
      <c r="A20" s="2" t="s">
        <v>18</v>
      </c>
      <c r="B20" s="3">
        <f>B22*B6</f>
        <v>5567.1440291295612</v>
      </c>
      <c r="C20" s="2" t="s">
        <v>19</v>
      </c>
      <c r="F20" t="s">
        <v>32</v>
      </c>
      <c r="G20">
        <v>28</v>
      </c>
      <c r="H20" t="s">
        <v>44</v>
      </c>
      <c r="I20" s="1">
        <f>0.79*J22</f>
        <v>9.6519947257157832E-2</v>
      </c>
      <c r="J20" t="s">
        <v>34</v>
      </c>
    </row>
    <row r="21" spans="1:20" ht="18" x14ac:dyDescent="0.35">
      <c r="A21" t="s">
        <v>21</v>
      </c>
      <c r="B21" s="1">
        <f>B4*B18/(B12*B5)</f>
        <v>3.8070399449785285E-3</v>
      </c>
      <c r="C21" t="s">
        <v>22</v>
      </c>
      <c r="F21" t="s">
        <v>33</v>
      </c>
      <c r="G21">
        <v>32</v>
      </c>
      <c r="H21" t="s">
        <v>44</v>
      </c>
      <c r="I21" s="1">
        <f>(0.21-0.21*(1/B7))*J22</f>
        <v>1.2828600584812114E-2</v>
      </c>
      <c r="J21" t="s">
        <v>34</v>
      </c>
    </row>
    <row r="22" spans="1:20" ht="18" x14ac:dyDescent="0.35">
      <c r="A22" t="s">
        <v>23</v>
      </c>
      <c r="B22" s="1">
        <f>B21/(B7*B8)</f>
        <v>1.3037808030748387E-4</v>
      </c>
      <c r="C22" t="s">
        <v>24</v>
      </c>
      <c r="F22" t="s">
        <v>35</v>
      </c>
      <c r="G22">
        <f>(0.21*28+0.79*32)</f>
        <v>31.16</v>
      </c>
      <c r="I22" t="s">
        <v>43</v>
      </c>
      <c r="J22" s="1">
        <f>B21/G22*1000</f>
        <v>0.12217714842678205</v>
      </c>
    </row>
    <row r="24" spans="1:20" s="15" customFormat="1" ht="33.75" x14ac:dyDescent="0.35">
      <c r="A24" s="15" t="s">
        <v>0</v>
      </c>
      <c r="B24" s="15" t="s">
        <v>25</v>
      </c>
      <c r="C24" s="15" t="s">
        <v>29</v>
      </c>
      <c r="D24" s="15" t="s">
        <v>13</v>
      </c>
      <c r="E24" s="15" t="s">
        <v>15</v>
      </c>
      <c r="F24" s="15" t="s">
        <v>30</v>
      </c>
      <c r="G24" s="15" t="s">
        <v>31</v>
      </c>
      <c r="H24" s="15" t="s">
        <v>59</v>
      </c>
      <c r="I24" s="15" t="s">
        <v>50</v>
      </c>
      <c r="J24" s="15" t="s">
        <v>41</v>
      </c>
      <c r="K24" s="15" t="s">
        <v>48</v>
      </c>
      <c r="L24" s="15" t="s">
        <v>49</v>
      </c>
      <c r="M24" s="15" t="s">
        <v>56</v>
      </c>
      <c r="N24" s="15" t="s">
        <v>47</v>
      </c>
      <c r="O24" s="15" t="s">
        <v>54</v>
      </c>
      <c r="P24" s="21" t="s">
        <v>55</v>
      </c>
      <c r="Q24" s="21" t="s">
        <v>58</v>
      </c>
      <c r="R24" s="21" t="s">
        <v>57</v>
      </c>
      <c r="S24"/>
      <c r="T24"/>
    </row>
    <row r="25" spans="1:20" x14ac:dyDescent="0.25">
      <c r="A25" s="11">
        <v>180</v>
      </c>
      <c r="B25" s="12">
        <f t="shared" ref="B25:B62" si="0">C$2/2*(1-COS(A25*PI()/180)+1/2*B$13*(SIN(A25*PI()/180))^2)</f>
        <v>0.155</v>
      </c>
      <c r="C25" s="11">
        <f t="shared" ref="C25:C62" si="1">PI()/4*C$1^2*B25</f>
        <v>3.3142820747668078E-3</v>
      </c>
      <c r="D25" s="11">
        <f t="shared" ref="D25:D62" si="2">PI()/4*C$1^2*C$2/(B$3-1)</f>
        <v>2.3673443391191484E-4</v>
      </c>
      <c r="E25" s="11">
        <f t="shared" ref="E25:E62" si="3">C25+D25</f>
        <v>3.5510165086787226E-3</v>
      </c>
      <c r="F25" s="11">
        <v>100000</v>
      </c>
      <c r="G25" s="11">
        <v>325</v>
      </c>
      <c r="H25" s="11"/>
      <c r="I25" s="11"/>
      <c r="J25" s="11">
        <f t="shared" ref="J25:J43" si="4">EXP(-I25/(8.315*G25))*101325</f>
        <v>101325</v>
      </c>
      <c r="K25" s="11">
        <f>0.795*(F25/(G25*8315))</f>
        <v>2.94185670012489E-2</v>
      </c>
      <c r="L25" s="11">
        <f>(0.205-(0.205/B$7))*F25/(G25*8315)</f>
        <v>3.7929598963874368E-3</v>
      </c>
      <c r="M25" s="11"/>
      <c r="N25" s="11"/>
      <c r="O25" s="11"/>
      <c r="P25" s="11"/>
      <c r="Q25" s="11"/>
      <c r="R25" s="11"/>
      <c r="T25"/>
    </row>
    <row r="26" spans="1:20" x14ac:dyDescent="0.25">
      <c r="A26" s="11">
        <v>190</v>
      </c>
      <c r="B26" s="12">
        <f t="shared" si="0"/>
        <v>0.15411471472651439</v>
      </c>
      <c r="C26" s="11">
        <f t="shared" si="1"/>
        <v>3.295352493392818E-3</v>
      </c>
      <c r="D26" s="11">
        <f t="shared" si="2"/>
        <v>2.3673443391191484E-4</v>
      </c>
      <c r="E26" s="11">
        <f t="shared" si="3"/>
        <v>3.5320869273047328E-3</v>
      </c>
      <c r="F26" s="11">
        <f>F25*(E26/E25)^(-B$9)</f>
        <v>100684.20927805017</v>
      </c>
      <c r="G26" s="11">
        <f>G25*(E26/E25)^-(B$9-1)</f>
        <v>325.47933250959375</v>
      </c>
      <c r="H26" s="11"/>
      <c r="I26" s="11"/>
      <c r="J26" s="11">
        <f t="shared" si="4"/>
        <v>101325</v>
      </c>
      <c r="K26" s="11">
        <f>0.795*(F26/(G26*8315))</f>
        <v>2.9576230492951591E-2</v>
      </c>
      <c r="L26" s="11">
        <f t="shared" ref="L26:L81" si="5">(0.205-(0.205/B$7))*F26/(G26*8315)</f>
        <v>3.8132875792799216E-3</v>
      </c>
      <c r="M26" s="11"/>
      <c r="N26" s="11"/>
      <c r="O26" s="11"/>
      <c r="P26" s="11"/>
      <c r="Q26" s="11"/>
      <c r="R26" s="11"/>
      <c r="T26"/>
    </row>
    <row r="27" spans="1:20" x14ac:dyDescent="0.25">
      <c r="A27" s="11">
        <v>200</v>
      </c>
      <c r="B27" s="12">
        <f t="shared" si="0"/>
        <v>0.15145940033955035</v>
      </c>
      <c r="C27" s="11">
        <f t="shared" si="1"/>
        <v>3.2385753264535578E-3</v>
      </c>
      <c r="D27" s="11">
        <f t="shared" si="2"/>
        <v>2.3673443391191484E-4</v>
      </c>
      <c r="E27" s="11">
        <f t="shared" si="3"/>
        <v>3.4753097603654726E-3</v>
      </c>
      <c r="F27" s="11">
        <f t="shared" ref="F27:F43" si="6">F26*(E27/E26)^(-B$9)</f>
        <v>102787.37648488382</v>
      </c>
      <c r="G27" s="11">
        <f t="shared" ref="G27:G43" si="7">G26*(E27/E26)^-(B$9-1)</f>
        <v>326.93692315102061</v>
      </c>
      <c r="H27" s="11"/>
      <c r="I27" s="11"/>
      <c r="J27" s="11">
        <f t="shared" si="4"/>
        <v>101325</v>
      </c>
      <c r="K27" s="11">
        <f t="shared" ref="K27:K81" si="8">0.795*(F27/(G27*8315))</f>
        <v>3.0059426147993222E-2</v>
      </c>
      <c r="L27" s="11">
        <f t="shared" si="5"/>
        <v>3.8755863901500688E-3</v>
      </c>
      <c r="M27" s="11"/>
      <c r="N27" s="11"/>
      <c r="O27" s="11"/>
      <c r="P27" s="11"/>
      <c r="Q27" s="11"/>
      <c r="R27" s="11"/>
      <c r="T27"/>
    </row>
    <row r="28" spans="1:20" x14ac:dyDescent="0.25">
      <c r="A28" s="11">
        <v>210</v>
      </c>
      <c r="B28" s="12">
        <f t="shared" si="0"/>
        <v>0.14703884379329399</v>
      </c>
      <c r="C28" s="11">
        <f t="shared" si="1"/>
        <v>3.1440529308293607E-3</v>
      </c>
      <c r="D28" s="11">
        <f t="shared" si="2"/>
        <v>2.3673443391191484E-4</v>
      </c>
      <c r="E28" s="11">
        <f t="shared" si="3"/>
        <v>3.3807873647412755E-3</v>
      </c>
      <c r="F28" s="11">
        <f t="shared" si="6"/>
        <v>106467.60925152314</v>
      </c>
      <c r="G28" s="11">
        <f t="shared" si="7"/>
        <v>329.43218610901198</v>
      </c>
      <c r="H28" s="11"/>
      <c r="I28" s="11"/>
      <c r="J28" s="11">
        <f t="shared" si="4"/>
        <v>101325</v>
      </c>
      <c r="K28" s="11">
        <f t="shared" si="8"/>
        <v>3.089984841182121E-2</v>
      </c>
      <c r="L28" s="11">
        <f t="shared" si="5"/>
        <v>3.9839427197631118E-3</v>
      </c>
      <c r="M28" s="11"/>
      <c r="N28" s="11"/>
      <c r="O28" s="11"/>
      <c r="P28" s="11"/>
      <c r="Q28" s="11"/>
      <c r="R28" s="11"/>
      <c r="T28"/>
    </row>
    <row r="29" spans="1:20" x14ac:dyDescent="0.25">
      <c r="A29" s="11">
        <v>220</v>
      </c>
      <c r="B29" s="12">
        <f t="shared" si="0"/>
        <v>0.14087108598114659</v>
      </c>
      <c r="C29" s="11">
        <f t="shared" si="1"/>
        <v>3.0121710652919217E-3</v>
      </c>
      <c r="D29" s="11">
        <f t="shared" si="2"/>
        <v>2.3673443391191484E-4</v>
      </c>
      <c r="E29" s="11">
        <f t="shared" si="3"/>
        <v>3.2489054992038365E-3</v>
      </c>
      <c r="F29" s="11">
        <f t="shared" si="6"/>
        <v>112011.63044772779</v>
      </c>
      <c r="G29" s="11">
        <f t="shared" si="7"/>
        <v>333.06643437245197</v>
      </c>
      <c r="H29" s="11"/>
      <c r="I29" s="11"/>
      <c r="J29" s="11">
        <f t="shared" si="4"/>
        <v>101325</v>
      </c>
      <c r="K29" s="11">
        <f t="shared" si="8"/>
        <v>3.2154156871816032E-2</v>
      </c>
      <c r="L29" s="11">
        <f t="shared" si="5"/>
        <v>4.1456617350454621E-3</v>
      </c>
      <c r="M29" s="11"/>
      <c r="N29" s="11"/>
      <c r="O29" s="11"/>
      <c r="P29" s="11"/>
      <c r="Q29" s="11"/>
      <c r="R29" s="11"/>
      <c r="T29"/>
    </row>
    <row r="30" spans="1:20" x14ac:dyDescent="0.25">
      <c r="A30" s="11">
        <v>230</v>
      </c>
      <c r="B30" s="12">
        <f t="shared" si="0"/>
        <v>0.13300089811128099</v>
      </c>
      <c r="C30" s="11">
        <f t="shared" si="1"/>
        <v>2.8438870486329365E-3</v>
      </c>
      <c r="D30" s="11">
        <f t="shared" si="2"/>
        <v>2.3673443391191484E-4</v>
      </c>
      <c r="E30" s="11">
        <f t="shared" si="3"/>
        <v>3.0806214825448513E-3</v>
      </c>
      <c r="F30" s="11">
        <f t="shared" si="6"/>
        <v>119875.62606618828</v>
      </c>
      <c r="G30" s="11">
        <f t="shared" si="7"/>
        <v>337.98692317228</v>
      </c>
      <c r="H30" s="11"/>
      <c r="I30" s="11"/>
      <c r="J30" s="11">
        <f t="shared" si="4"/>
        <v>101325</v>
      </c>
      <c r="K30" s="11">
        <f t="shared" si="8"/>
        <v>3.3910630590295178E-2</v>
      </c>
      <c r="L30" s="11">
        <f t="shared" si="5"/>
        <v>4.3721253276795668E-3</v>
      </c>
      <c r="M30" s="11"/>
      <c r="N30" s="11"/>
      <c r="O30" s="11"/>
      <c r="P30" s="11"/>
      <c r="Q30" s="11"/>
      <c r="R30" s="11"/>
      <c r="T30"/>
    </row>
    <row r="31" spans="1:20" x14ac:dyDescent="0.25">
      <c r="A31" s="11">
        <v>240</v>
      </c>
      <c r="B31" s="12">
        <f t="shared" si="0"/>
        <v>0.12351562500000003</v>
      </c>
      <c r="C31" s="11">
        <f t="shared" si="1"/>
        <v>2.6410685283298004E-3</v>
      </c>
      <c r="D31" s="11">
        <f t="shared" si="2"/>
        <v>2.3673443391191484E-4</v>
      </c>
      <c r="E31" s="11">
        <f t="shared" si="3"/>
        <v>2.8778029622417152E-3</v>
      </c>
      <c r="F31" s="11">
        <f t="shared" si="6"/>
        <v>130756.57482679805</v>
      </c>
      <c r="G31" s="11">
        <f t="shared" si="7"/>
        <v>344.39374942662408</v>
      </c>
      <c r="H31" s="11"/>
      <c r="I31" s="11"/>
      <c r="J31" s="11">
        <f t="shared" si="4"/>
        <v>101325</v>
      </c>
      <c r="K31" s="11">
        <f t="shared" si="8"/>
        <v>3.6300545399998621E-2</v>
      </c>
      <c r="L31" s="11">
        <f t="shared" si="5"/>
        <v>4.6802589981130294E-3</v>
      </c>
      <c r="M31" s="11"/>
      <c r="N31" s="11"/>
      <c r="O31" s="11"/>
      <c r="P31" s="11"/>
      <c r="Q31" s="11"/>
      <c r="R31" s="11"/>
      <c r="T31"/>
    </row>
    <row r="32" spans="1:20" x14ac:dyDescent="0.25">
      <c r="A32" s="11">
        <v>250</v>
      </c>
      <c r="B32" s="12">
        <f t="shared" si="0"/>
        <v>0.11256083887909693</v>
      </c>
      <c r="C32" s="11">
        <f t="shared" si="1"/>
        <v>2.4068281975335852E-3</v>
      </c>
      <c r="D32" s="11">
        <f t="shared" si="2"/>
        <v>2.3673443391191484E-4</v>
      </c>
      <c r="E32" s="11">
        <f t="shared" si="3"/>
        <v>2.6435626314455E-3</v>
      </c>
      <c r="F32" s="11">
        <f t="shared" si="6"/>
        <v>145714.09890240637</v>
      </c>
      <c r="G32" s="11">
        <f t="shared" si="7"/>
        <v>352.55091713121118</v>
      </c>
      <c r="H32" s="11"/>
      <c r="I32" s="11"/>
      <c r="J32" s="11">
        <f t="shared" si="4"/>
        <v>101325</v>
      </c>
      <c r="K32" s="11">
        <f t="shared" si="8"/>
        <v>3.9517057716156316E-2</v>
      </c>
      <c r="L32" s="11">
        <f t="shared" si="5"/>
        <v>5.0949665608880776E-3</v>
      </c>
      <c r="M32" s="11"/>
      <c r="N32" s="11"/>
      <c r="O32" s="11"/>
      <c r="P32" s="11"/>
      <c r="Q32" s="11"/>
      <c r="R32" s="11"/>
      <c r="T32"/>
    </row>
    <row r="33" spans="1:20" x14ac:dyDescent="0.25">
      <c r="A33" s="11">
        <v>260</v>
      </c>
      <c r="B33" s="12">
        <f t="shared" si="0"/>
        <v>0.10035311990111885</v>
      </c>
      <c r="C33" s="11">
        <f t="shared" si="1"/>
        <v>2.1457970737754992E-3</v>
      </c>
      <c r="D33" s="11">
        <f t="shared" si="2"/>
        <v>2.3673443391191484E-4</v>
      </c>
      <c r="E33" s="11">
        <f t="shared" si="3"/>
        <v>2.382531507687414E-3</v>
      </c>
      <c r="F33" s="11">
        <f t="shared" si="6"/>
        <v>166380.34729098118</v>
      </c>
      <c r="G33" s="11">
        <f t="shared" si="7"/>
        <v>362.80340032599838</v>
      </c>
      <c r="H33" s="11"/>
      <c r="I33" s="11"/>
      <c r="J33" s="11">
        <f t="shared" si="4"/>
        <v>101325</v>
      </c>
      <c r="K33" s="11">
        <f t="shared" si="8"/>
        <v>4.3846562677571831E-2</v>
      </c>
      <c r="L33" s="11">
        <f t="shared" si="5"/>
        <v>5.6531731754102038E-3</v>
      </c>
      <c r="M33" s="11"/>
      <c r="N33" s="11"/>
      <c r="O33" s="11"/>
      <c r="P33" s="11"/>
      <c r="Q33" s="11"/>
      <c r="R33" s="11"/>
      <c r="T33"/>
    </row>
    <row r="34" spans="1:20" x14ac:dyDescent="0.25">
      <c r="A34" s="11">
        <v>270</v>
      </c>
      <c r="B34" s="12">
        <f t="shared" si="0"/>
        <v>8.7187500000000015E-2</v>
      </c>
      <c r="C34" s="11">
        <f t="shared" si="1"/>
        <v>1.8642836670563297E-3</v>
      </c>
      <c r="D34" s="11">
        <f t="shared" si="2"/>
        <v>2.3673443391191484E-4</v>
      </c>
      <c r="E34" s="11">
        <f t="shared" si="3"/>
        <v>2.1010181009682447E-3</v>
      </c>
      <c r="F34" s="11">
        <f t="shared" si="6"/>
        <v>195329.67151571048</v>
      </c>
      <c r="G34" s="11">
        <f t="shared" si="7"/>
        <v>375.60268085208514</v>
      </c>
      <c r="H34" s="11"/>
      <c r="I34" s="11"/>
      <c r="J34" s="11">
        <f t="shared" si="4"/>
        <v>101325</v>
      </c>
      <c r="K34" s="11">
        <f t="shared" si="8"/>
        <v>4.9721521692251636E-2</v>
      </c>
      <c r="L34" s="11">
        <f t="shared" si="5"/>
        <v>6.4106364445984821E-3</v>
      </c>
      <c r="M34" s="11"/>
      <c r="N34" s="11"/>
      <c r="O34" s="11"/>
      <c r="P34" s="11"/>
      <c r="Q34" s="11"/>
      <c r="R34" s="11"/>
      <c r="T34"/>
    </row>
    <row r="35" spans="1:20" x14ac:dyDescent="0.25">
      <c r="A35" s="11">
        <v>280</v>
      </c>
      <c r="B35" s="12">
        <f t="shared" si="0"/>
        <v>7.3437652362744674E-2</v>
      </c>
      <c r="C35" s="11">
        <f t="shared" si="1"/>
        <v>1.5702780312180707E-3</v>
      </c>
      <c r="D35" s="11">
        <f t="shared" si="2"/>
        <v>2.3673443391191484E-4</v>
      </c>
      <c r="E35" s="11">
        <f t="shared" si="3"/>
        <v>1.8070124651299855E-3</v>
      </c>
      <c r="F35" s="11">
        <f t="shared" si="6"/>
        <v>236749.23029291572</v>
      </c>
      <c r="G35" s="11">
        <f t="shared" si="7"/>
        <v>391.54383819728582</v>
      </c>
      <c r="H35" s="11"/>
      <c r="I35" s="11"/>
      <c r="J35" s="11">
        <f t="shared" si="4"/>
        <v>101325</v>
      </c>
      <c r="K35" s="11">
        <f t="shared" si="8"/>
        <v>5.7811342809741643E-2</v>
      </c>
      <c r="L35" s="11">
        <f t="shared" si="5"/>
        <v>7.4536636955956194E-3</v>
      </c>
      <c r="M35" s="11"/>
      <c r="N35" s="11"/>
      <c r="O35" s="11"/>
      <c r="P35" s="11"/>
      <c r="Q35" s="11"/>
      <c r="R35" s="11"/>
      <c r="T35"/>
    </row>
    <row r="36" spans="1:20" x14ac:dyDescent="0.25">
      <c r="A36" s="11">
        <v>290</v>
      </c>
      <c r="B36" s="12">
        <f t="shared" si="0"/>
        <v>5.9547716663618265E-2</v>
      </c>
      <c r="C36" s="11">
        <f t="shared" si="1"/>
        <v>1.2732769673001467E-3</v>
      </c>
      <c r="D36" s="11">
        <f t="shared" si="2"/>
        <v>2.3673443391191484E-4</v>
      </c>
      <c r="E36" s="11">
        <f t="shared" si="3"/>
        <v>1.5100114012120615E-3</v>
      </c>
      <c r="F36" s="11">
        <f t="shared" si="6"/>
        <v>297694.78441319626</v>
      </c>
      <c r="G36" s="11">
        <f t="shared" si="7"/>
        <v>411.4168947684783</v>
      </c>
      <c r="H36" s="11"/>
      <c r="I36" s="11"/>
      <c r="J36" s="11">
        <f t="shared" si="4"/>
        <v>101325</v>
      </c>
      <c r="K36" s="11">
        <f t="shared" si="8"/>
        <v>6.9182137962172263E-2</v>
      </c>
      <c r="L36" s="11">
        <f t="shared" si="5"/>
        <v>8.9197096114750404E-3</v>
      </c>
      <c r="M36" s="11"/>
      <c r="N36" s="11"/>
      <c r="O36" s="11"/>
      <c r="P36" s="11"/>
      <c r="Q36" s="11"/>
      <c r="R36" s="11"/>
      <c r="T36"/>
    </row>
    <row r="37" spans="1:20" x14ac:dyDescent="0.25">
      <c r="A37" s="11">
        <v>300</v>
      </c>
      <c r="B37" s="12">
        <f t="shared" si="0"/>
        <v>4.6015624999999991E-2</v>
      </c>
      <c r="C37" s="11">
        <f t="shared" si="1"/>
        <v>9.8392749094639584E-4</v>
      </c>
      <c r="D37" s="11">
        <f t="shared" si="2"/>
        <v>2.3673443391191484E-4</v>
      </c>
      <c r="E37" s="11">
        <f t="shared" si="3"/>
        <v>1.2206619248583107E-3</v>
      </c>
      <c r="F37" s="11">
        <f t="shared" si="6"/>
        <v>390507.5009820289</v>
      </c>
      <c r="G37" s="11">
        <f t="shared" si="7"/>
        <v>436.27009875336051</v>
      </c>
      <c r="H37" s="11"/>
      <c r="I37" s="11"/>
      <c r="J37" s="11">
        <f t="shared" si="4"/>
        <v>101325</v>
      </c>
      <c r="K37" s="11">
        <f t="shared" si="8"/>
        <v>8.558128582181497E-2</v>
      </c>
      <c r="L37" s="11">
        <f t="shared" si="5"/>
        <v>1.1034065153127085E-2</v>
      </c>
      <c r="M37" s="11"/>
      <c r="N37" s="11"/>
      <c r="O37" s="11"/>
      <c r="P37" s="11"/>
      <c r="Q37" s="11"/>
      <c r="R37" s="11"/>
      <c r="T37"/>
    </row>
    <row r="38" spans="1:20" x14ac:dyDescent="0.25">
      <c r="A38" s="11">
        <v>310</v>
      </c>
      <c r="B38" s="12">
        <f t="shared" si="0"/>
        <v>3.3368818609867401E-2</v>
      </c>
      <c r="C38" s="11">
        <f t="shared" si="1"/>
        <v>7.1350759596663612E-4</v>
      </c>
      <c r="D38" s="11">
        <f t="shared" si="2"/>
        <v>2.3673443391191484E-4</v>
      </c>
      <c r="E38" s="11">
        <f t="shared" si="3"/>
        <v>9.5024202987855093E-4</v>
      </c>
      <c r="F38" s="11">
        <f t="shared" si="6"/>
        <v>537501.06107667007</v>
      </c>
      <c r="G38" s="11">
        <f t="shared" si="7"/>
        <v>467.4597594226891</v>
      </c>
      <c r="H38" s="11"/>
      <c r="I38" s="11"/>
      <c r="J38" s="11">
        <f t="shared" si="4"/>
        <v>101325</v>
      </c>
      <c r="K38" s="11">
        <f t="shared" si="8"/>
        <v>0.10993600977264451</v>
      </c>
      <c r="L38" s="11">
        <f t="shared" si="5"/>
        <v>1.4174139624774918E-2</v>
      </c>
      <c r="M38" s="11"/>
      <c r="N38" s="11"/>
      <c r="O38" s="11"/>
      <c r="P38" s="11"/>
      <c r="Q38" s="11"/>
      <c r="R38" s="11"/>
      <c r="T38"/>
    </row>
    <row r="39" spans="1:20" x14ac:dyDescent="0.25">
      <c r="A39" s="11">
        <v>320</v>
      </c>
      <c r="B39" s="12">
        <f t="shared" si="0"/>
        <v>2.2134197297705029E-2</v>
      </c>
      <c r="C39" s="11">
        <f t="shared" si="1"/>
        <v>4.7328369898797217E-4</v>
      </c>
      <c r="D39" s="11">
        <f t="shared" si="2"/>
        <v>2.3673443391191484E-4</v>
      </c>
      <c r="E39" s="11">
        <f t="shared" si="3"/>
        <v>7.1001813289988704E-4</v>
      </c>
      <c r="F39" s="11">
        <f t="shared" si="6"/>
        <v>779546.2941329563</v>
      </c>
      <c r="G39" s="11">
        <f t="shared" si="7"/>
        <v>506.57297973097127</v>
      </c>
      <c r="H39" s="11"/>
      <c r="I39" s="11"/>
      <c r="J39" s="11">
        <f t="shared" si="4"/>
        <v>101325</v>
      </c>
      <c r="K39" s="11">
        <f t="shared" si="8"/>
        <v>0.14713119601106817</v>
      </c>
      <c r="L39" s="11">
        <f t="shared" si="5"/>
        <v>1.8969745397653441E-2</v>
      </c>
      <c r="M39" s="11"/>
      <c r="N39" s="11"/>
      <c r="O39" s="11"/>
      <c r="P39" s="11"/>
      <c r="Q39" s="11"/>
      <c r="R39" s="11"/>
      <c r="T39"/>
    </row>
    <row r="40" spans="1:20" x14ac:dyDescent="0.25">
      <c r="A40" s="11">
        <v>330</v>
      </c>
      <c r="B40" s="12">
        <f t="shared" si="0"/>
        <v>1.280490620670603E-2</v>
      </c>
      <c r="C40" s="11">
        <f t="shared" si="1"/>
        <v>2.7380045877390991E-4</v>
      </c>
      <c r="D40" s="11">
        <f t="shared" si="2"/>
        <v>2.3673443391191484E-4</v>
      </c>
      <c r="E40" s="11">
        <f t="shared" si="3"/>
        <v>5.1053489268582477E-4</v>
      </c>
      <c r="F40" s="11">
        <f t="shared" si="6"/>
        <v>1187360.7327707368</v>
      </c>
      <c r="G40" s="11">
        <f t="shared" si="7"/>
        <v>554.80297517895178</v>
      </c>
      <c r="H40" s="11"/>
      <c r="I40" s="11"/>
      <c r="J40" s="11">
        <f t="shared" si="4"/>
        <v>101325</v>
      </c>
      <c r="K40" s="11">
        <f t="shared" si="8"/>
        <v>0.20462032777726821</v>
      </c>
      <c r="L40" s="11">
        <f t="shared" si="5"/>
        <v>2.6381866159962252E-2</v>
      </c>
      <c r="M40" s="11"/>
      <c r="N40" s="11"/>
      <c r="O40" s="11"/>
      <c r="P40" s="11"/>
      <c r="Q40" s="11"/>
      <c r="R40" s="11"/>
      <c r="T40"/>
    </row>
    <row r="41" spans="1:20" x14ac:dyDescent="0.25">
      <c r="A41" s="11">
        <v>340</v>
      </c>
      <c r="B41" s="12">
        <f t="shared" si="0"/>
        <v>5.8070441177345469E-3</v>
      </c>
      <c r="C41" s="11">
        <f t="shared" si="1"/>
        <v>1.2416891759217831E-4</v>
      </c>
      <c r="D41" s="11">
        <f t="shared" si="2"/>
        <v>2.3673443391191484E-4</v>
      </c>
      <c r="E41" s="11">
        <f t="shared" si="3"/>
        <v>3.6090335150409318E-4</v>
      </c>
      <c r="F41" s="11">
        <f t="shared" si="6"/>
        <v>1848211.8268869012</v>
      </c>
      <c r="G41" s="11">
        <f t="shared" si="7"/>
        <v>610.4826556547946</v>
      </c>
      <c r="H41" s="11"/>
      <c r="I41" s="11"/>
      <c r="J41" s="11">
        <f t="shared" si="4"/>
        <v>101325</v>
      </c>
      <c r="K41" s="11">
        <f t="shared" si="8"/>
        <v>0.289456489244936</v>
      </c>
      <c r="L41" s="11">
        <f t="shared" si="5"/>
        <v>3.7319861820887978E-2</v>
      </c>
      <c r="M41" s="11"/>
      <c r="N41" s="11"/>
      <c r="O41" s="11"/>
      <c r="P41" s="11"/>
      <c r="Q41" s="11"/>
      <c r="R41" s="11"/>
      <c r="T41"/>
    </row>
    <row r="42" spans="1:20" x14ac:dyDescent="0.25">
      <c r="A42" s="11">
        <v>350</v>
      </c>
      <c r="B42" s="12">
        <f t="shared" si="0"/>
        <v>1.4695130096221464E-3</v>
      </c>
      <c r="C42" s="11">
        <f t="shared" si="1"/>
        <v>3.1421810493079371E-5</v>
      </c>
      <c r="D42" s="11">
        <f t="shared" si="2"/>
        <v>2.3673443391191484E-4</v>
      </c>
      <c r="E42" s="11">
        <f t="shared" si="3"/>
        <v>2.6815624440499421E-4</v>
      </c>
      <c r="F42" s="11">
        <f t="shared" si="6"/>
        <v>2699757.9156995597</v>
      </c>
      <c r="G42" s="11">
        <f t="shared" si="7"/>
        <v>662.58775777265294</v>
      </c>
      <c r="H42" s="11"/>
      <c r="I42" s="11"/>
      <c r="J42" s="11">
        <f t="shared" si="4"/>
        <v>101325</v>
      </c>
      <c r="K42" s="11">
        <f t="shared" si="8"/>
        <v>0.38957070462745619</v>
      </c>
      <c r="L42" s="11">
        <f t="shared" si="5"/>
        <v>5.0227669464546237E-2</v>
      </c>
      <c r="M42" s="11"/>
      <c r="N42" s="11"/>
      <c r="O42" s="11"/>
      <c r="P42" s="11"/>
      <c r="Q42" s="11"/>
      <c r="R42" s="11"/>
      <c r="T42"/>
    </row>
    <row r="43" spans="1:20" x14ac:dyDescent="0.25">
      <c r="A43" s="11">
        <v>360</v>
      </c>
      <c r="B43" s="13">
        <f t="shared" si="0"/>
        <v>5.8163313541892933E-34</v>
      </c>
      <c r="C43" s="14">
        <f t="shared" si="1"/>
        <v>1.243675016006047E-35</v>
      </c>
      <c r="D43" s="14">
        <f t="shared" si="2"/>
        <v>2.3673443391191484E-4</v>
      </c>
      <c r="E43" s="14">
        <f t="shared" si="3"/>
        <v>2.3673443391191484E-4</v>
      </c>
      <c r="F43" s="11">
        <f t="shared" si="6"/>
        <v>3165013.9910447015</v>
      </c>
      <c r="G43" s="11">
        <f t="shared" si="7"/>
        <v>685.75303139301877</v>
      </c>
      <c r="H43" s="11"/>
      <c r="I43" s="11"/>
      <c r="J43" s="11">
        <f t="shared" si="4"/>
        <v>101325</v>
      </c>
      <c r="K43" s="11">
        <f t="shared" si="8"/>
        <v>0.44127850501873339</v>
      </c>
      <c r="L43" s="11">
        <f t="shared" si="5"/>
        <v>5.6894398445811539E-2</v>
      </c>
      <c r="M43" s="11"/>
      <c r="N43" s="11"/>
      <c r="O43" s="11"/>
      <c r="P43" s="11"/>
      <c r="Q43" s="11"/>
      <c r="R43" s="11"/>
      <c r="T43"/>
    </row>
    <row r="44" spans="1:20" hidden="1" x14ac:dyDescent="0.25">
      <c r="A44" s="18"/>
      <c r="B44" s="19"/>
      <c r="C44" s="20"/>
      <c r="D44" s="20"/>
      <c r="E44" s="20"/>
      <c r="F44" s="20">
        <f>3*101325</f>
        <v>303975</v>
      </c>
      <c r="G44" s="20">
        <v>2500</v>
      </c>
      <c r="H44" s="20"/>
      <c r="I44" s="20"/>
      <c r="J44" s="19">
        <f>EXP(-I44/(8.315*G44))*101325</f>
        <v>101325</v>
      </c>
      <c r="K44" s="11">
        <f t="shared" si="8"/>
        <v>1.1625261575466027E-2</v>
      </c>
      <c r="L44" s="11">
        <f t="shared" si="5"/>
        <v>1.4988544798556823E-3</v>
      </c>
      <c r="M44" s="19"/>
      <c r="N44" s="19"/>
      <c r="O44" s="19"/>
      <c r="P44" s="19"/>
      <c r="Q44" s="19"/>
      <c r="R44" s="19"/>
      <c r="T44"/>
    </row>
    <row r="45" spans="1:20" x14ac:dyDescent="0.25">
      <c r="A45">
        <v>360</v>
      </c>
      <c r="B45" s="4">
        <f t="shared" si="0"/>
        <v>5.8163313541892933E-34</v>
      </c>
      <c r="C45" s="5">
        <f t="shared" si="1"/>
        <v>1.243675016006047E-35</v>
      </c>
      <c r="D45" s="5">
        <f t="shared" si="2"/>
        <v>2.3673443391191484E-4</v>
      </c>
      <c r="E45" s="5">
        <f t="shared" si="3"/>
        <v>2.3673443391191484E-4</v>
      </c>
      <c r="F45" s="5">
        <f>G45/G43*F43</f>
        <v>11456914.791171053</v>
      </c>
      <c r="G45" s="5">
        <f>B20/((B21+B22)*B11)+G43</f>
        <v>2482.3315380870617</v>
      </c>
      <c r="J45">
        <f t="shared" ref="J45:J62" si="9">EXP(-I45/(8.315*G45))*101325</f>
        <v>101325</v>
      </c>
      <c r="K45" s="11">
        <f t="shared" si="8"/>
        <v>0.4412785050187335</v>
      </c>
      <c r="L45" s="11">
        <f t="shared" si="5"/>
        <v>5.6894398445811546E-2</v>
      </c>
      <c r="M45" s="1"/>
      <c r="N45" s="1"/>
      <c r="O45" s="1"/>
      <c r="P45" s="22"/>
      <c r="Q45" s="22"/>
      <c r="R45" s="22"/>
      <c r="T45"/>
    </row>
    <row r="46" spans="1:20" x14ac:dyDescent="0.25">
      <c r="A46">
        <v>365</v>
      </c>
      <c r="B46" s="1">
        <f t="shared" si="0"/>
        <v>3.6849834423684702E-4</v>
      </c>
      <c r="C46">
        <f t="shared" si="1"/>
        <v>7.8794029476479388E-6</v>
      </c>
      <c r="D46">
        <f t="shared" si="2"/>
        <v>2.3673443391191484E-4</v>
      </c>
      <c r="E46">
        <f t="shared" si="3"/>
        <v>2.4461383685956279E-4</v>
      </c>
      <c r="F46">
        <f t="shared" ref="F46:F60" si="10">F45*(E46/E45)^(-B29)</f>
        <v>11404192.891284138</v>
      </c>
      <c r="G46" s="6">
        <f>G45*(E46/E45)^-(B$9-1)</f>
        <v>2460.022103721129</v>
      </c>
      <c r="J46">
        <f t="shared" si="9"/>
        <v>101325</v>
      </c>
      <c r="K46" s="11">
        <f t="shared" si="8"/>
        <v>0.4432312984179117</v>
      </c>
      <c r="L46" s="11">
        <f t="shared" si="5"/>
        <v>5.7146173695391128E-2</v>
      </c>
      <c r="M46" s="1"/>
      <c r="N46" s="1"/>
      <c r="O46" s="1"/>
      <c r="P46" s="22"/>
      <c r="Q46" s="22"/>
      <c r="R46" s="22"/>
      <c r="S46" s="1"/>
    </row>
    <row r="47" spans="1:20" x14ac:dyDescent="0.25">
      <c r="A47">
        <v>370</v>
      </c>
      <c r="B47" s="1">
        <f t="shared" si="0"/>
        <v>1.4695130096221245E-3</v>
      </c>
      <c r="C47">
        <f t="shared" si="1"/>
        <v>3.1421810493078904E-5</v>
      </c>
      <c r="D47">
        <f t="shared" si="2"/>
        <v>2.3673443391191484E-4</v>
      </c>
      <c r="E47">
        <f t="shared" si="3"/>
        <v>2.6815624440499372E-4</v>
      </c>
      <c r="F47">
        <f t="shared" si="10"/>
        <v>11265666.784227872</v>
      </c>
      <c r="G47" s="6">
        <f t="shared" ref="G47:G62" si="11">G46*(E47/E46)^-(B$9-1)</f>
        <v>2398.4764376882526</v>
      </c>
      <c r="J47">
        <f t="shared" si="9"/>
        <v>101325</v>
      </c>
      <c r="K47" s="11">
        <f t="shared" si="8"/>
        <v>0.44908269502585119</v>
      </c>
      <c r="L47" s="11">
        <f t="shared" si="5"/>
        <v>5.7900599044213519E-2</v>
      </c>
      <c r="M47" s="1"/>
      <c r="N47" s="1"/>
      <c r="O47" s="1"/>
      <c r="P47" s="22"/>
      <c r="Q47" s="22"/>
      <c r="R47" s="22"/>
      <c r="S47" s="1"/>
    </row>
    <row r="48" spans="1:20" x14ac:dyDescent="0.25">
      <c r="A48">
        <v>375</v>
      </c>
      <c r="B48" s="1">
        <f t="shared" si="0"/>
        <v>3.28968791301632E-3</v>
      </c>
      <c r="C48">
        <f t="shared" si="1"/>
        <v>7.0341636656045276E-5</v>
      </c>
      <c r="D48">
        <f t="shared" si="2"/>
        <v>2.3673443391191484E-4</v>
      </c>
      <c r="E48">
        <f t="shared" si="3"/>
        <v>3.070760705679601E-4</v>
      </c>
      <c r="F48">
        <f t="shared" si="10"/>
        <v>11078654.3170885</v>
      </c>
      <c r="G48" s="6">
        <f t="shared" si="11"/>
        <v>2310.5027344405544</v>
      </c>
      <c r="J48">
        <f t="shared" si="9"/>
        <v>101325</v>
      </c>
      <c r="K48" s="11">
        <f t="shared" si="8"/>
        <v>0.45844305688174836</v>
      </c>
      <c r="L48" s="11">
        <f t="shared" si="5"/>
        <v>5.9107438151420381E-2</v>
      </c>
      <c r="M48" s="1"/>
      <c r="N48" s="1"/>
      <c r="O48" s="1"/>
      <c r="P48" s="22"/>
      <c r="Q48" s="22"/>
      <c r="R48" s="22"/>
      <c r="S48" s="1"/>
    </row>
    <row r="49" spans="1:19" x14ac:dyDescent="0.25">
      <c r="A49">
        <v>380</v>
      </c>
      <c r="B49" s="1">
        <f t="shared" si="0"/>
        <v>5.8070441177345573E-3</v>
      </c>
      <c r="C49">
        <f t="shared" si="1"/>
        <v>1.2416891759217856E-4</v>
      </c>
      <c r="D49">
        <f t="shared" si="2"/>
        <v>2.3673443391191484E-4</v>
      </c>
      <c r="E49">
        <f t="shared" si="3"/>
        <v>3.6090335150409339E-4</v>
      </c>
      <c r="F49">
        <f t="shared" si="10"/>
        <v>10879061.656789649</v>
      </c>
      <c r="G49" s="6">
        <f t="shared" si="11"/>
        <v>2209.8631434536414</v>
      </c>
      <c r="J49">
        <f t="shared" si="9"/>
        <v>101325</v>
      </c>
      <c r="K49" s="11">
        <f t="shared" si="8"/>
        <v>0.47068562455076712</v>
      </c>
      <c r="L49" s="11">
        <f t="shared" si="5"/>
        <v>6.0685882410633496E-2</v>
      </c>
      <c r="M49" s="1"/>
      <c r="N49" s="1"/>
      <c r="O49" s="1"/>
      <c r="P49" s="22"/>
      <c r="Q49" s="22"/>
      <c r="R49" s="22"/>
      <c r="S49" s="1"/>
    </row>
    <row r="50" spans="1:19" x14ac:dyDescent="0.25">
      <c r="A50">
        <v>385</v>
      </c>
      <c r="B50" s="1">
        <f t="shared" si="0"/>
        <v>8.9913940202404549E-3</v>
      </c>
      <c r="C50">
        <f t="shared" si="1"/>
        <v>1.9225816792547358E-4</v>
      </c>
      <c r="D50">
        <f t="shared" si="2"/>
        <v>2.3673443391191484E-4</v>
      </c>
      <c r="E50">
        <f t="shared" si="3"/>
        <v>4.2899260183738841E-4</v>
      </c>
      <c r="F50">
        <f t="shared" si="10"/>
        <v>10692002.326279532</v>
      </c>
      <c r="G50" s="6">
        <f t="shared" si="11"/>
        <v>2107.0233327493997</v>
      </c>
      <c r="J50">
        <f t="shared" si="9"/>
        <v>101325</v>
      </c>
      <c r="K50" s="11">
        <f t="shared" si="8"/>
        <v>0.48517071038261983</v>
      </c>
      <c r="L50" s="11">
        <f t="shared" si="5"/>
        <v>6.2553456370086191E-2</v>
      </c>
      <c r="M50" s="1"/>
      <c r="N50" s="1"/>
      <c r="O50" s="1"/>
      <c r="P50" s="22"/>
      <c r="Q50" s="22"/>
      <c r="R50" s="22"/>
      <c r="S50" s="1"/>
    </row>
    <row r="51" spans="1:19" x14ac:dyDescent="0.25">
      <c r="A51">
        <v>390</v>
      </c>
      <c r="B51" s="1">
        <f t="shared" si="0"/>
        <v>1.2804906206705968E-2</v>
      </c>
      <c r="C51">
        <f t="shared" si="1"/>
        <v>2.7380045877390855E-4</v>
      </c>
      <c r="D51">
        <f t="shared" si="2"/>
        <v>2.3673443391191484E-4</v>
      </c>
      <c r="E51">
        <f t="shared" si="3"/>
        <v>5.1053489268582336E-4</v>
      </c>
      <c r="F51">
        <f t="shared" si="10"/>
        <v>10531004.40950018</v>
      </c>
      <c r="G51" s="6">
        <f t="shared" si="11"/>
        <v>2008.3103678209518</v>
      </c>
      <c r="J51">
        <f t="shared" si="9"/>
        <v>101325</v>
      </c>
      <c r="K51" s="11">
        <f t="shared" si="8"/>
        <v>0.50135325558732791</v>
      </c>
      <c r="L51" s="11">
        <f t="shared" si="5"/>
        <v>6.463988515434102E-2</v>
      </c>
      <c r="M51" s="1"/>
      <c r="N51" s="1"/>
      <c r="O51" s="1"/>
      <c r="P51" s="22"/>
      <c r="Q51" s="22"/>
      <c r="R51" s="22"/>
      <c r="S51" s="1"/>
    </row>
    <row r="52" spans="1:19" x14ac:dyDescent="0.25">
      <c r="A52">
        <v>395</v>
      </c>
      <c r="B52" s="1">
        <f t="shared" si="0"/>
        <v>1.7202806498369427E-2</v>
      </c>
      <c r="C52">
        <f t="shared" si="1"/>
        <v>3.6783840782727575E-4</v>
      </c>
      <c r="D52">
        <f t="shared" si="2"/>
        <v>2.3673443391191484E-4</v>
      </c>
      <c r="E52">
        <f t="shared" si="3"/>
        <v>6.0457284173919055E-4</v>
      </c>
      <c r="F52">
        <f t="shared" si="10"/>
        <v>10401063.955411533</v>
      </c>
      <c r="G52" s="6">
        <f t="shared" si="11"/>
        <v>1916.839738804355</v>
      </c>
      <c r="J52">
        <f t="shared" si="9"/>
        <v>101325</v>
      </c>
      <c r="K52" s="11">
        <f t="shared" si="8"/>
        <v>0.51879626118565381</v>
      </c>
      <c r="L52" s="11">
        <f t="shared" si="5"/>
        <v>6.6888826127710077E-2</v>
      </c>
      <c r="M52" s="1"/>
      <c r="N52" s="1"/>
      <c r="O52" s="1"/>
      <c r="P52" s="22"/>
      <c r="Q52" s="22"/>
      <c r="R52" s="22"/>
      <c r="S52" s="1"/>
    </row>
    <row r="53" spans="1:19" x14ac:dyDescent="0.25">
      <c r="A53">
        <v>400</v>
      </c>
      <c r="B53" s="1">
        <f t="shared" si="0"/>
        <v>2.2134197297704997E-2</v>
      </c>
      <c r="C53">
        <f t="shared" si="1"/>
        <v>4.7328369898797152E-4</v>
      </c>
      <c r="D53">
        <f t="shared" si="2"/>
        <v>2.3673443391191484E-4</v>
      </c>
      <c r="E53">
        <f t="shared" si="3"/>
        <v>7.1001813289988639E-4</v>
      </c>
      <c r="F53">
        <f t="shared" si="10"/>
        <v>10301965.64492064</v>
      </c>
      <c r="G53" s="6">
        <f t="shared" si="11"/>
        <v>1833.724426087502</v>
      </c>
      <c r="J53">
        <f t="shared" si="9"/>
        <v>101325</v>
      </c>
      <c r="K53" s="11">
        <f t="shared" si="8"/>
        <v>0.53714421444064953</v>
      </c>
      <c r="L53" s="11">
        <f t="shared" si="5"/>
        <v>6.9254442742347891E-2</v>
      </c>
      <c r="M53" s="1"/>
      <c r="N53" s="1"/>
      <c r="O53" s="1"/>
      <c r="P53" s="22"/>
      <c r="Q53" s="22"/>
      <c r="R53" s="22"/>
      <c r="S53" s="1"/>
    </row>
    <row r="54" spans="1:19" x14ac:dyDescent="0.25">
      <c r="A54">
        <v>405</v>
      </c>
      <c r="B54" s="1">
        <f t="shared" si="0"/>
        <v>2.7542974458042491E-2</v>
      </c>
      <c r="C54">
        <f t="shared" si="1"/>
        <v>5.8893668730354998E-4</v>
      </c>
      <c r="D54">
        <f t="shared" si="2"/>
        <v>2.3673443391191484E-4</v>
      </c>
      <c r="E54">
        <f t="shared" si="3"/>
        <v>8.2567112121546479E-4</v>
      </c>
      <c r="F54">
        <f t="shared" si="10"/>
        <v>10230676.237967324</v>
      </c>
      <c r="G54" s="6">
        <f t="shared" si="11"/>
        <v>1758.9898429170642</v>
      </c>
      <c r="J54">
        <f t="shared" si="9"/>
        <v>101325</v>
      </c>
      <c r="K54" s="11">
        <f t="shared" si="8"/>
        <v>0.55609102329761551</v>
      </c>
      <c r="L54" s="11">
        <f t="shared" si="5"/>
        <v>7.1697270299378071E-2</v>
      </c>
      <c r="M54" s="1"/>
      <c r="N54" s="1"/>
      <c r="O54" s="1"/>
      <c r="P54" s="22"/>
      <c r="Q54" s="22"/>
      <c r="R54" s="22"/>
      <c r="S54" s="1"/>
    </row>
    <row r="55" spans="1:19" x14ac:dyDescent="0.25">
      <c r="A55">
        <v>410</v>
      </c>
      <c r="B55" s="1">
        <f t="shared" si="0"/>
        <v>3.3368818609867373E-2</v>
      </c>
      <c r="C55">
        <f t="shared" si="1"/>
        <v>7.1350759596663547E-4</v>
      </c>
      <c r="D55">
        <f t="shared" si="2"/>
        <v>2.3673443391191484E-4</v>
      </c>
      <c r="E55">
        <f t="shared" si="3"/>
        <v>9.5024202987855028E-4</v>
      </c>
      <c r="F55">
        <f t="shared" si="10"/>
        <v>10182816.966888428</v>
      </c>
      <c r="G55" s="6">
        <f t="shared" si="11"/>
        <v>1692.1399548819331</v>
      </c>
      <c r="J55">
        <f t="shared" si="9"/>
        <v>101325</v>
      </c>
      <c r="K55" s="11">
        <f t="shared" si="8"/>
        <v>0.57535584902253534</v>
      </c>
      <c r="L55" s="11">
        <f t="shared" si="5"/>
        <v>7.4181100031207384E-2</v>
      </c>
      <c r="M55" s="1"/>
      <c r="N55" s="1"/>
      <c r="O55" s="1"/>
      <c r="P55" s="22"/>
      <c r="Q55" s="22"/>
      <c r="R55" s="22"/>
      <c r="S55" s="1"/>
    </row>
    <row r="56" spans="1:19" x14ac:dyDescent="0.25">
      <c r="A56">
        <v>415</v>
      </c>
      <c r="B56" s="1">
        <f t="shared" si="0"/>
        <v>3.9548236252027601E-2</v>
      </c>
      <c r="C56">
        <f t="shared" si="1"/>
        <v>8.4563877741121235E-4</v>
      </c>
      <c r="D56">
        <f t="shared" si="2"/>
        <v>2.3673443391191484E-4</v>
      </c>
      <c r="E56">
        <f t="shared" si="3"/>
        <v>1.0823732113231272E-3</v>
      </c>
      <c r="F56">
        <f t="shared" si="10"/>
        <v>10153514.843410634</v>
      </c>
      <c r="G56" s="6">
        <f t="shared" si="11"/>
        <v>1632.4718416708906</v>
      </c>
      <c r="J56">
        <f t="shared" si="9"/>
        <v>101325</v>
      </c>
      <c r="K56" s="11">
        <f t="shared" si="8"/>
        <v>0.59466939003571917</v>
      </c>
      <c r="L56" s="11">
        <f t="shared" si="5"/>
        <v>7.6671210664982656E-2</v>
      </c>
      <c r="M56" s="1"/>
      <c r="N56" s="1"/>
      <c r="O56" s="1"/>
      <c r="P56" s="22"/>
      <c r="Q56" s="22"/>
      <c r="R56" s="22"/>
      <c r="S56" s="1"/>
    </row>
    <row r="57" spans="1:19" x14ac:dyDescent="0.25">
      <c r="A57">
        <v>420</v>
      </c>
      <c r="B57" s="1">
        <f t="shared" si="0"/>
        <v>4.6015625000000018E-2</v>
      </c>
      <c r="C57">
        <f t="shared" si="1"/>
        <v>9.8392749094639649E-4</v>
      </c>
      <c r="D57">
        <f t="shared" si="2"/>
        <v>2.3673443391191484E-4</v>
      </c>
      <c r="E57">
        <f t="shared" si="3"/>
        <v>1.2206619248583113E-3</v>
      </c>
      <c r="F57">
        <f t="shared" si="10"/>
        <v>10137894.252077261</v>
      </c>
      <c r="G57" s="6">
        <f t="shared" si="11"/>
        <v>1579.237678410135</v>
      </c>
      <c r="J57">
        <f t="shared" si="9"/>
        <v>101325</v>
      </c>
      <c r="K57" s="11">
        <f t="shared" si="8"/>
        <v>0.61376926190193304</v>
      </c>
      <c r="L57" s="11">
        <f t="shared" si="5"/>
        <v>7.9133772760941051E-2</v>
      </c>
      <c r="M57" s="1"/>
      <c r="N57" s="1"/>
      <c r="O57" s="1"/>
      <c r="P57" s="22"/>
      <c r="Q57" s="22"/>
      <c r="R57" s="22"/>
      <c r="S57" s="1"/>
    </row>
    <row r="58" spans="1:19" x14ac:dyDescent="0.25">
      <c r="A58">
        <v>425</v>
      </c>
      <c r="B58" s="1">
        <f t="shared" si="0"/>
        <v>5.2704337199514915E-2</v>
      </c>
      <c r="C58">
        <f t="shared" si="1"/>
        <v>1.1269486454375337E-3</v>
      </c>
      <c r="D58">
        <f t="shared" si="2"/>
        <v>2.3673443391191484E-4</v>
      </c>
      <c r="E58">
        <f t="shared" si="3"/>
        <v>1.3636830793494485E-3</v>
      </c>
      <c r="F58">
        <f t="shared" si="10"/>
        <v>10131373.661706487</v>
      </c>
      <c r="G58" s="6">
        <f t="shared" si="11"/>
        <v>1531.7217393311978</v>
      </c>
      <c r="J58">
        <f t="shared" si="9"/>
        <v>101325</v>
      </c>
      <c r="K58" s="11">
        <f t="shared" si="8"/>
        <v>0.63240214165018915</v>
      </c>
      <c r="L58" s="11">
        <f t="shared" si="5"/>
        <v>8.1536125181313687E-2</v>
      </c>
      <c r="M58" s="1"/>
      <c r="N58" s="1"/>
      <c r="O58" s="1"/>
      <c r="P58" s="22"/>
      <c r="Q58" s="22"/>
      <c r="R58" s="22"/>
      <c r="S58" s="1"/>
    </row>
    <row r="59" spans="1:19" x14ac:dyDescent="0.25">
      <c r="A59">
        <v>430</v>
      </c>
      <c r="B59" s="1">
        <f t="shared" si="0"/>
        <v>5.9547716663618154E-2</v>
      </c>
      <c r="C59">
        <f t="shared" si="1"/>
        <v>1.2732769673001443E-3</v>
      </c>
      <c r="D59">
        <f t="shared" si="2"/>
        <v>2.3673443391191484E-4</v>
      </c>
      <c r="E59">
        <f t="shared" si="3"/>
        <v>1.5100114012120591E-3</v>
      </c>
      <c r="F59">
        <f t="shared" si="10"/>
        <v>10129856.252161266</v>
      </c>
      <c r="G59" s="6">
        <f t="shared" si="11"/>
        <v>1489.2725025379114</v>
      </c>
      <c r="J59">
        <f t="shared" si="9"/>
        <v>101325</v>
      </c>
      <c r="K59" s="11">
        <f t="shared" si="8"/>
        <v>0.65033029661663999</v>
      </c>
      <c r="L59" s="11">
        <f t="shared" si="5"/>
        <v>8.3847616859378096E-2</v>
      </c>
      <c r="M59" s="1"/>
      <c r="N59" s="1"/>
      <c r="O59" s="1"/>
      <c r="P59" s="22"/>
      <c r="Q59" s="22"/>
      <c r="R59" s="22"/>
      <c r="S59" s="1"/>
    </row>
    <row r="60" spans="1:19" x14ac:dyDescent="0.25">
      <c r="A60">
        <v>435</v>
      </c>
      <c r="B60" s="1">
        <f t="shared" si="0"/>
        <v>6.6480084554135524E-2</v>
      </c>
      <c r="C60">
        <f t="shared" si="1"/>
        <v>1.4215080810758263E-3</v>
      </c>
      <c r="D60">
        <f t="shared" si="2"/>
        <v>2.3673443391191484E-4</v>
      </c>
      <c r="E60">
        <f t="shared" si="3"/>
        <v>1.6582425149877411E-3</v>
      </c>
      <c r="F60">
        <f t="shared" si="10"/>
        <v>10129856.252161266</v>
      </c>
      <c r="G60" s="6">
        <f t="shared" si="11"/>
        <v>1451.3120721646203</v>
      </c>
      <c r="J60">
        <f t="shared" si="9"/>
        <v>101325</v>
      </c>
      <c r="K60" s="11">
        <f t="shared" si="8"/>
        <v>0.66734029633884817</v>
      </c>
      <c r="L60" s="11">
        <f t="shared" si="5"/>
        <v>8.6040730031109347E-2</v>
      </c>
      <c r="M60" s="1"/>
      <c r="N60" s="1"/>
      <c r="O60" s="1"/>
      <c r="P60" s="22"/>
      <c r="Q60" s="22"/>
      <c r="R60" s="22"/>
      <c r="S60" s="1"/>
    </row>
    <row r="61" spans="1:19" x14ac:dyDescent="0.25">
      <c r="A61">
        <v>440</v>
      </c>
      <c r="B61" s="1">
        <f t="shared" si="0"/>
        <v>7.3437652362744632E-2</v>
      </c>
      <c r="C61">
        <f t="shared" si="1"/>
        <v>1.5702780312180698E-3</v>
      </c>
      <c r="D61">
        <f t="shared" si="2"/>
        <v>2.3673443391191484E-4</v>
      </c>
      <c r="E61">
        <f t="shared" si="3"/>
        <v>1.8070124651299846E-3</v>
      </c>
      <c r="F61">
        <f t="shared" ref="F61:F62" si="12">F60*(E61/E60)^(-B45)</f>
        <v>10129856.252161266</v>
      </c>
      <c r="G61" s="6">
        <f t="shared" si="11"/>
        <v>1417.3347744834703</v>
      </c>
      <c r="J61">
        <f t="shared" si="9"/>
        <v>101325</v>
      </c>
      <c r="K61" s="11">
        <f t="shared" si="8"/>
        <v>0.68333822450059489</v>
      </c>
      <c r="L61" s="11">
        <f t="shared" si="5"/>
        <v>8.8103355989070403E-2</v>
      </c>
      <c r="M61" s="1"/>
      <c r="N61" s="1"/>
      <c r="O61" s="1"/>
      <c r="P61" s="22"/>
      <c r="Q61" s="22"/>
      <c r="R61" s="22"/>
      <c r="S61" s="1"/>
    </row>
    <row r="62" spans="1:19" x14ac:dyDescent="0.25">
      <c r="A62">
        <v>445</v>
      </c>
      <c r="B62" s="1">
        <f t="shared" si="0"/>
        <v>8.0359342490709293E-2</v>
      </c>
      <c r="C62">
        <f t="shared" si="1"/>
        <v>1.7182808281097062E-3</v>
      </c>
      <c r="D62">
        <f t="shared" si="2"/>
        <v>2.3673443391191484E-4</v>
      </c>
      <c r="E62">
        <f t="shared" si="3"/>
        <v>1.955015262021621E-3</v>
      </c>
      <c r="F62">
        <f t="shared" si="12"/>
        <v>10129562.396096855</v>
      </c>
      <c r="G62" s="6">
        <f t="shared" si="11"/>
        <v>1386.9010835158495</v>
      </c>
      <c r="J62">
        <f t="shared" si="9"/>
        <v>101325</v>
      </c>
      <c r="K62" s="11">
        <f t="shared" si="8"/>
        <v>0.69831291081284885</v>
      </c>
      <c r="L62" s="11">
        <f t="shared" si="5"/>
        <v>9.0034054538763522E-2</v>
      </c>
      <c r="M62" s="1"/>
      <c r="N62" s="1"/>
      <c r="O62" s="1"/>
      <c r="P62" s="22"/>
      <c r="Q62" s="22"/>
      <c r="R62" s="22"/>
      <c r="S62" s="1"/>
    </row>
    <row r="63" spans="1:19" x14ac:dyDescent="0.25">
      <c r="A63">
        <v>450</v>
      </c>
      <c r="B63" s="1">
        <f t="shared" ref="B63:B81" si="13">C$2/2*(1-COS(A63*PI()/180)+1/2*B$13*(SIN(A63*PI()/180))^2)</f>
        <v>8.7187499999999959E-2</v>
      </c>
      <c r="C63">
        <f t="shared" ref="C63:C81" si="14">PI()/4*C$1^2*B63</f>
        <v>1.8642836670563284E-3</v>
      </c>
      <c r="D63">
        <f t="shared" ref="D63:D81" si="15">PI()/4*C$1^2*C$2/(B$3-1)</f>
        <v>2.3673443391191484E-4</v>
      </c>
      <c r="E63">
        <f t="shared" ref="E63:E81" si="16">C63+D63</f>
        <v>2.1010181009682434E-3</v>
      </c>
      <c r="F63">
        <f t="shared" ref="F63:F81" si="17">F62*(E63/E62)^(-B47)</f>
        <v>10128490.337317521</v>
      </c>
      <c r="G63" s="6">
        <f t="shared" ref="G63:G81" si="18">G62*(E63/E62)^-(B$9-1)</f>
        <v>1359.6299801623779</v>
      </c>
      <c r="J63">
        <f t="shared" ref="J63:J81" si="19">EXP(-I63/(8.315*G63))*101325</f>
        <v>101325</v>
      </c>
      <c r="K63" s="11">
        <f t="shared" si="8"/>
        <v>0.71224410086665602</v>
      </c>
      <c r="L63" s="11">
        <f t="shared" si="5"/>
        <v>9.183021426268205E-2</v>
      </c>
      <c r="M63" s="1"/>
      <c r="N63" s="1"/>
      <c r="O63" s="1"/>
      <c r="P63" s="22"/>
      <c r="Q63" s="22"/>
      <c r="R63" s="22"/>
      <c r="S63" s="1"/>
    </row>
    <row r="64" spans="1:19" x14ac:dyDescent="0.25">
      <c r="A64">
        <v>455</v>
      </c>
      <c r="B64" s="1">
        <f t="shared" si="13"/>
        <v>9.386848261659636E-2</v>
      </c>
      <c r="C64">
        <f t="shared" si="14"/>
        <v>2.0071395440112581E-3</v>
      </c>
      <c r="D64">
        <f t="shared" si="15"/>
        <v>2.3673443391191484E-4</v>
      </c>
      <c r="E64">
        <f t="shared" si="16"/>
        <v>2.243873977923173E-3</v>
      </c>
      <c r="F64">
        <f t="shared" si="17"/>
        <v>10126298.753377158</v>
      </c>
      <c r="G64" s="6">
        <f t="shared" si="18"/>
        <v>1335.1912441055292</v>
      </c>
      <c r="J64">
        <f t="shared" si="19"/>
        <v>101325</v>
      </c>
      <c r="K64" s="11">
        <f t="shared" si="8"/>
        <v>0.72512375954726382</v>
      </c>
      <c r="L64" s="11">
        <f t="shared" si="5"/>
        <v>9.3490799186911361E-2</v>
      </c>
      <c r="M64" s="1"/>
      <c r="N64" s="1"/>
      <c r="O64" s="1"/>
      <c r="P64" s="22"/>
      <c r="Q64" s="22"/>
      <c r="R64" s="22"/>
      <c r="S64" s="1"/>
    </row>
    <row r="65" spans="1:19" x14ac:dyDescent="0.25">
      <c r="A65">
        <v>460</v>
      </c>
      <c r="B65" s="1">
        <f t="shared" si="13"/>
        <v>0.10035311990111881</v>
      </c>
      <c r="C65">
        <f t="shared" si="14"/>
        <v>2.1457970737754984E-3</v>
      </c>
      <c r="D65">
        <f t="shared" si="15"/>
        <v>2.3673443391191484E-4</v>
      </c>
      <c r="E65">
        <f t="shared" si="16"/>
        <v>2.3825315076874132E-3</v>
      </c>
      <c r="F65">
        <f t="shared" si="17"/>
        <v>10122773.501909206</v>
      </c>
      <c r="G65" s="6">
        <f t="shared" si="18"/>
        <v>1313.2983472563037</v>
      </c>
      <c r="J65">
        <f t="shared" si="19"/>
        <v>101325</v>
      </c>
      <c r="K65" s="11">
        <f t="shared" si="8"/>
        <v>0.73695504617151575</v>
      </c>
      <c r="L65" s="11">
        <f t="shared" si="5"/>
        <v>9.5016216644755166E-2</v>
      </c>
      <c r="M65" s="1"/>
      <c r="N65" s="1"/>
      <c r="O65" s="1"/>
      <c r="P65" s="22"/>
      <c r="Q65" s="22"/>
      <c r="R65" s="22"/>
      <c r="S65" s="1"/>
    </row>
    <row r="66" spans="1:19" x14ac:dyDescent="0.25">
      <c r="A66">
        <v>465</v>
      </c>
      <c r="B66" s="1">
        <f t="shared" si="13"/>
        <v>0.10659703654502621</v>
      </c>
      <c r="C66">
        <f t="shared" si="14"/>
        <v>2.2793074028673722E-3</v>
      </c>
      <c r="D66">
        <f t="shared" si="15"/>
        <v>2.3673443391191484E-4</v>
      </c>
      <c r="E66">
        <f t="shared" si="16"/>
        <v>2.516041836779287E-3</v>
      </c>
      <c r="F66">
        <f t="shared" si="17"/>
        <v>10117812.117052408</v>
      </c>
      <c r="G66" s="6">
        <f t="shared" si="18"/>
        <v>1293.702196780868</v>
      </c>
      <c r="J66">
        <f t="shared" si="19"/>
        <v>101325</v>
      </c>
      <c r="K66" s="11">
        <f t="shared" si="8"/>
        <v>0.74775128838743687</v>
      </c>
      <c r="L66" s="11">
        <f t="shared" si="5"/>
        <v>9.6408184980770154E-2</v>
      </c>
      <c r="M66" s="1"/>
      <c r="N66" s="1"/>
      <c r="O66" s="1"/>
      <c r="P66" s="22"/>
      <c r="Q66" s="22"/>
      <c r="R66" s="22"/>
      <c r="S66" s="1"/>
    </row>
    <row r="67" spans="1:19" x14ac:dyDescent="0.25">
      <c r="A67">
        <v>470</v>
      </c>
      <c r="B67" s="1">
        <f t="shared" si="13"/>
        <v>0.11256083887909682</v>
      </c>
      <c r="C67">
        <f t="shared" si="14"/>
        <v>2.406828197533583E-3</v>
      </c>
      <c r="D67">
        <f t="shared" si="15"/>
        <v>2.3673443391191484E-4</v>
      </c>
      <c r="E67">
        <f t="shared" si="16"/>
        <v>2.6435626314454978E-3</v>
      </c>
      <c r="F67">
        <f t="shared" si="17"/>
        <v>10111408.747075142</v>
      </c>
      <c r="G67" s="6">
        <f t="shared" si="18"/>
        <v>1276.1857699681957</v>
      </c>
      <c r="J67">
        <f t="shared" si="19"/>
        <v>101325</v>
      </c>
      <c r="K67" s="11">
        <f t="shared" si="8"/>
        <v>0.75753489717906586</v>
      </c>
      <c r="L67" s="11">
        <f t="shared" si="5"/>
        <v>9.7669593661451864E-2</v>
      </c>
      <c r="M67" s="1"/>
      <c r="N67" s="1"/>
      <c r="O67" s="1"/>
      <c r="P67" s="22"/>
      <c r="Q67" s="22"/>
      <c r="R67" s="22"/>
      <c r="S67" s="1"/>
    </row>
    <row r="68" spans="1:19" x14ac:dyDescent="0.25">
      <c r="A68">
        <v>475</v>
      </c>
      <c r="B68" s="1">
        <f t="shared" si="13"/>
        <v>0.11821016776932333</v>
      </c>
      <c r="C68">
        <f t="shared" si="14"/>
        <v>2.5276247747938411E-3</v>
      </c>
      <c r="D68">
        <f t="shared" si="15"/>
        <v>2.3673443391191484E-4</v>
      </c>
      <c r="E68">
        <f t="shared" si="16"/>
        <v>2.7643592087057559E-3</v>
      </c>
      <c r="F68">
        <f t="shared" si="17"/>
        <v>10103639.650221828</v>
      </c>
      <c r="G68" s="6">
        <f t="shared" si="18"/>
        <v>1260.5595889830338</v>
      </c>
      <c r="J68">
        <f t="shared" si="19"/>
        <v>101325</v>
      </c>
      <c r="K68" s="11">
        <f t="shared" si="8"/>
        <v>0.76633620374943734</v>
      </c>
      <c r="L68" s="11">
        <f t="shared" si="5"/>
        <v>9.880435331360668E-2</v>
      </c>
      <c r="M68" s="1"/>
      <c r="N68" s="1"/>
      <c r="O68" s="1"/>
      <c r="P68" s="22"/>
      <c r="Q68" s="22"/>
      <c r="R68" s="22"/>
      <c r="S68" s="1"/>
    </row>
    <row r="69" spans="1:19" x14ac:dyDescent="0.25">
      <c r="A69">
        <v>480</v>
      </c>
      <c r="B69" s="1">
        <f t="shared" si="13"/>
        <v>0.12351562499999993</v>
      </c>
      <c r="C69">
        <f t="shared" si="14"/>
        <v>2.6410685283297986E-3</v>
      </c>
      <c r="D69">
        <f t="shared" si="15"/>
        <v>2.3673443391191484E-4</v>
      </c>
      <c r="E69">
        <f t="shared" si="16"/>
        <v>2.8778029622417134E-3</v>
      </c>
      <c r="F69">
        <f t="shared" si="17"/>
        <v>10094649.397752352</v>
      </c>
      <c r="G69" s="6">
        <f t="shared" si="18"/>
        <v>1246.6579462071707</v>
      </c>
      <c r="J69">
        <f t="shared" si="19"/>
        <v>101325</v>
      </c>
      <c r="K69" s="11">
        <f t="shared" si="8"/>
        <v>0.77419222476986249</v>
      </c>
      <c r="L69" s="11">
        <f t="shared" si="5"/>
        <v>9.9817236526931932E-2</v>
      </c>
      <c r="M69" s="1"/>
      <c r="N69" s="1"/>
      <c r="O69" s="1"/>
      <c r="P69" s="22"/>
      <c r="Q69" s="22"/>
      <c r="R69" s="22"/>
      <c r="S69" s="1"/>
    </row>
    <row r="70" spans="1:19" x14ac:dyDescent="0.25">
      <c r="A70">
        <v>485</v>
      </c>
      <c r="B70" s="1">
        <f t="shared" si="13"/>
        <v>0.12845258388643971</v>
      </c>
      <c r="C70">
        <f t="shared" si="14"/>
        <v>2.7466328789181086E-3</v>
      </c>
      <c r="D70">
        <f t="shared" si="15"/>
        <v>2.3673443391191484E-4</v>
      </c>
      <c r="E70">
        <f t="shared" si="16"/>
        <v>2.9833673128300234E-3</v>
      </c>
      <c r="F70">
        <f t="shared" si="17"/>
        <v>10084637.958023515</v>
      </c>
      <c r="G70" s="6">
        <f t="shared" si="18"/>
        <v>1234.3357816176756</v>
      </c>
      <c r="J70">
        <f t="shared" si="19"/>
        <v>101325</v>
      </c>
      <c r="K70" s="11">
        <f t="shared" si="8"/>
        <v>0.78114537881546409</v>
      </c>
      <c r="L70" s="11">
        <f t="shared" si="5"/>
        <v>0.10071371236300009</v>
      </c>
      <c r="M70" s="1"/>
      <c r="N70" s="1"/>
      <c r="O70" s="1"/>
      <c r="P70" s="22"/>
      <c r="Q70" s="22"/>
      <c r="R70" s="22"/>
      <c r="S70" s="1"/>
    </row>
    <row r="71" spans="1:19" x14ac:dyDescent="0.25">
      <c r="A71">
        <v>490</v>
      </c>
      <c r="B71" s="1">
        <f t="shared" si="13"/>
        <v>0.13300089811128094</v>
      </c>
      <c r="C71">
        <f t="shared" si="14"/>
        <v>2.8438870486329352E-3</v>
      </c>
      <c r="D71">
        <f t="shared" si="15"/>
        <v>2.3673443391191484E-4</v>
      </c>
      <c r="E71">
        <f t="shared" si="16"/>
        <v>3.08062148254485E-3</v>
      </c>
      <c r="F71">
        <f t="shared" si="17"/>
        <v>10073848.843604943</v>
      </c>
      <c r="G71" s="6">
        <f t="shared" si="18"/>
        <v>1223.4661174552132</v>
      </c>
      <c r="J71">
        <f t="shared" si="19"/>
        <v>101325</v>
      </c>
      <c r="K71" s="11">
        <f t="shared" si="8"/>
        <v>0.7872421859895985</v>
      </c>
      <c r="L71" s="11">
        <f t="shared" si="5"/>
        <v>0.10149977869677211</v>
      </c>
      <c r="M71" s="1"/>
      <c r="N71" s="1"/>
      <c r="O71" s="1"/>
      <c r="P71" s="22"/>
      <c r="Q71" s="22"/>
      <c r="R71" s="22"/>
      <c r="S71" s="1"/>
    </row>
    <row r="72" spans="1:19" x14ac:dyDescent="0.25">
      <c r="A72">
        <v>495</v>
      </c>
      <c r="B72" s="1">
        <f t="shared" si="13"/>
        <v>0.13714452554195747</v>
      </c>
      <c r="C72">
        <f t="shared" si="14"/>
        <v>2.9324880171361823E-3</v>
      </c>
      <c r="D72">
        <f t="shared" si="15"/>
        <v>2.3673443391191484E-4</v>
      </c>
      <c r="E72">
        <f t="shared" si="16"/>
        <v>3.1692224510480971E-3</v>
      </c>
      <c r="F72">
        <f t="shared" si="17"/>
        <v>10062558.492303804</v>
      </c>
      <c r="G72" s="6">
        <f t="shared" si="18"/>
        <v>1213.9379645838887</v>
      </c>
      <c r="J72">
        <f t="shared" si="19"/>
        <v>101325</v>
      </c>
      <c r="K72" s="11">
        <f t="shared" si="8"/>
        <v>0.79253198639496758</v>
      </c>
      <c r="L72" s="11">
        <f t="shared" si="5"/>
        <v>0.1021817969880304</v>
      </c>
      <c r="M72" s="1"/>
      <c r="N72" s="1"/>
      <c r="O72" s="1"/>
      <c r="P72" s="22"/>
      <c r="Q72" s="22"/>
      <c r="R72" s="22"/>
      <c r="S72" s="1"/>
    </row>
    <row r="73" spans="1:19" x14ac:dyDescent="0.25">
      <c r="A73">
        <v>500</v>
      </c>
      <c r="B73" s="1">
        <f t="shared" si="13"/>
        <v>0.14087108598114656</v>
      </c>
      <c r="C73">
        <f t="shared" si="14"/>
        <v>3.0121710652919213E-3</v>
      </c>
      <c r="D73">
        <f t="shared" si="15"/>
        <v>2.3673443391191484E-4</v>
      </c>
      <c r="E73">
        <f t="shared" si="16"/>
        <v>3.2489054992038361E-3</v>
      </c>
      <c r="F73">
        <f t="shared" si="17"/>
        <v>10051067.024050662</v>
      </c>
      <c r="G73" s="6">
        <f t="shared" si="18"/>
        <v>1205.6546256039769</v>
      </c>
      <c r="J73">
        <f t="shared" si="19"/>
        <v>101325</v>
      </c>
      <c r="K73" s="11">
        <f t="shared" si="8"/>
        <v>0.7970657125228493</v>
      </c>
      <c r="L73" s="11">
        <f t="shared" si="5"/>
        <v>0.1027663340045183</v>
      </c>
      <c r="M73" s="1"/>
      <c r="N73" s="1"/>
      <c r="O73" s="1"/>
      <c r="P73" s="22"/>
      <c r="Q73" s="22"/>
      <c r="R73" s="22"/>
      <c r="S73" s="1"/>
    </row>
    <row r="74" spans="1:19" x14ac:dyDescent="0.25">
      <c r="A74">
        <v>505</v>
      </c>
      <c r="B74" s="1">
        <f t="shared" si="13"/>
        <v>0.1441713733631631</v>
      </c>
      <c r="C74">
        <f t="shared" si="14"/>
        <v>3.0827393447228663E-3</v>
      </c>
      <c r="D74">
        <f t="shared" si="15"/>
        <v>2.3673443391191484E-4</v>
      </c>
      <c r="E74">
        <f t="shared" si="16"/>
        <v>3.3194737786347811E-3</v>
      </c>
      <c r="F74">
        <f t="shared" si="17"/>
        <v>10039690.472524732</v>
      </c>
      <c r="G74" s="6">
        <f t="shared" si="18"/>
        <v>1198.5323301687356</v>
      </c>
      <c r="J74">
        <f t="shared" si="19"/>
        <v>101325</v>
      </c>
      <c r="K74" s="11">
        <f t="shared" si="8"/>
        <v>0.80089474690066154</v>
      </c>
      <c r="L74" s="11">
        <f t="shared" si="5"/>
        <v>0.10326001453750666</v>
      </c>
      <c r="M74" s="1"/>
      <c r="N74" s="1"/>
      <c r="O74" s="1"/>
      <c r="P74" s="22"/>
      <c r="Q74" s="22"/>
      <c r="R74" s="22"/>
      <c r="S74" s="1"/>
    </row>
    <row r="75" spans="1:19" x14ac:dyDescent="0.25">
      <c r="A75">
        <v>510</v>
      </c>
      <c r="B75" s="1">
        <f t="shared" si="13"/>
        <v>0.14703884379329402</v>
      </c>
      <c r="C75">
        <f t="shared" si="14"/>
        <v>3.1440529308293616E-3</v>
      </c>
      <c r="D75">
        <f t="shared" si="15"/>
        <v>2.3673443391191484E-4</v>
      </c>
      <c r="E75">
        <f t="shared" si="16"/>
        <v>3.3807873647412764E-3</v>
      </c>
      <c r="F75">
        <f t="shared" si="17"/>
        <v>10028754.537929034</v>
      </c>
      <c r="G75" s="6">
        <f t="shared" si="18"/>
        <v>1192.4991473653326</v>
      </c>
      <c r="J75">
        <f t="shared" si="19"/>
        <v>101325</v>
      </c>
      <c r="K75" s="11">
        <f t="shared" si="8"/>
        <v>0.80406989043654709</v>
      </c>
      <c r="L75" s="11">
        <f t="shared" si="5"/>
        <v>0.10366938838961769</v>
      </c>
      <c r="M75" s="1"/>
      <c r="N75" s="1"/>
      <c r="O75" s="1"/>
      <c r="P75" s="22"/>
      <c r="Q75" s="22"/>
      <c r="R75" s="22"/>
      <c r="S75" s="1"/>
    </row>
    <row r="76" spans="1:19" x14ac:dyDescent="0.25">
      <c r="A76">
        <v>515</v>
      </c>
      <c r="B76" s="1">
        <f t="shared" si="13"/>
        <v>0.1494691010109212</v>
      </c>
      <c r="C76">
        <f t="shared" si="14"/>
        <v>3.196017820722616E-3</v>
      </c>
      <c r="D76">
        <f t="shared" si="15"/>
        <v>2.3673443391191484E-4</v>
      </c>
      <c r="E76">
        <f t="shared" si="16"/>
        <v>3.4327522546345308E-3</v>
      </c>
      <c r="F76">
        <f t="shared" si="17"/>
        <v>10018589.850612506</v>
      </c>
      <c r="G76" s="6">
        <f t="shared" si="18"/>
        <v>1187.4941282808679</v>
      </c>
      <c r="J76">
        <f t="shared" si="19"/>
        <v>101325</v>
      </c>
      <c r="K76" s="11">
        <f t="shared" si="8"/>
        <v>0.80664045970157272</v>
      </c>
      <c r="L76" s="11">
        <f t="shared" si="5"/>
        <v>0.10400081398668076</v>
      </c>
      <c r="M76" s="1"/>
      <c r="N76" s="1"/>
      <c r="O76" s="1"/>
      <c r="P76" s="22"/>
      <c r="Q76" s="22"/>
      <c r="R76" s="22"/>
      <c r="S76" s="1"/>
    </row>
    <row r="77" spans="1:19" x14ac:dyDescent="0.25">
      <c r="A77">
        <v>520</v>
      </c>
      <c r="B77" s="1">
        <f t="shared" si="13"/>
        <v>0.15145940033955035</v>
      </c>
      <c r="C77">
        <f t="shared" si="14"/>
        <v>3.2385753264535578E-3</v>
      </c>
      <c r="D77">
        <f t="shared" si="15"/>
        <v>2.3673443391191484E-4</v>
      </c>
      <c r="E77">
        <f t="shared" si="16"/>
        <v>3.4753097603654726E-3</v>
      </c>
      <c r="F77">
        <f t="shared" si="17"/>
        <v>10009528.67930224</v>
      </c>
      <c r="G77" s="6">
        <f t="shared" si="18"/>
        <v>1183.4666390819061</v>
      </c>
      <c r="J77">
        <f t="shared" si="19"/>
        <v>101325</v>
      </c>
      <c r="K77" s="11">
        <f t="shared" si="8"/>
        <v>0.80865352366593934</v>
      </c>
      <c r="L77" s="11">
        <f t="shared" si="5"/>
        <v>0.1042603599695079</v>
      </c>
      <c r="M77" s="1"/>
      <c r="N77" s="1"/>
      <c r="O77" s="1"/>
      <c r="P77" s="22"/>
      <c r="Q77" s="22"/>
      <c r="R77" s="22"/>
      <c r="S77" s="1"/>
    </row>
    <row r="78" spans="1:19" x14ac:dyDescent="0.25">
      <c r="A78">
        <v>525</v>
      </c>
      <c r="B78" s="1">
        <f t="shared" si="13"/>
        <v>0.15300819098782192</v>
      </c>
      <c r="C78">
        <f t="shared" si="14"/>
        <v>3.2716922882802218E-3</v>
      </c>
      <c r="D78">
        <f t="shared" si="15"/>
        <v>2.3673443391191484E-4</v>
      </c>
      <c r="E78">
        <f t="shared" si="16"/>
        <v>3.5084267221921366E-3</v>
      </c>
      <c r="F78">
        <f t="shared" si="17"/>
        <v>10001902.967071177</v>
      </c>
      <c r="G78" s="6">
        <f t="shared" si="18"/>
        <v>1180.3758512921543</v>
      </c>
      <c r="J78">
        <f t="shared" si="19"/>
        <v>101325</v>
      </c>
      <c r="K78" s="11">
        <f t="shared" si="8"/>
        <v>0.81015328281044663</v>
      </c>
      <c r="L78" s="11">
        <f t="shared" si="5"/>
        <v>0.10445372514222738</v>
      </c>
      <c r="M78" s="1"/>
      <c r="N78" s="1"/>
      <c r="O78" s="1"/>
      <c r="P78" s="22"/>
      <c r="Q78" s="22"/>
      <c r="R78" s="22"/>
      <c r="S78" s="1"/>
    </row>
    <row r="79" spans="1:19" x14ac:dyDescent="0.25">
      <c r="A79">
        <v>530</v>
      </c>
      <c r="B79" s="1">
        <f t="shared" si="13"/>
        <v>0.15411471472651439</v>
      </c>
      <c r="C79">
        <f t="shared" si="14"/>
        <v>3.295352493392818E-3</v>
      </c>
      <c r="D79">
        <f t="shared" si="15"/>
        <v>2.3673443391191484E-4</v>
      </c>
      <c r="E79">
        <f t="shared" si="16"/>
        <v>3.5320869273047328E-3</v>
      </c>
      <c r="F79">
        <f t="shared" si="17"/>
        <v>9996043.5365335029</v>
      </c>
      <c r="G79" s="6">
        <f t="shared" si="18"/>
        <v>1178.1903616858231</v>
      </c>
      <c r="J79">
        <f t="shared" si="19"/>
        <v>101325</v>
      </c>
      <c r="K79" s="11">
        <f t="shared" si="8"/>
        <v>0.81118058659464565</v>
      </c>
      <c r="L79" s="11">
        <f t="shared" si="5"/>
        <v>0.10458617625905807</v>
      </c>
      <c r="M79" s="1"/>
      <c r="N79" s="1"/>
      <c r="O79" s="1"/>
      <c r="P79" s="22"/>
      <c r="Q79" s="22"/>
      <c r="R79" s="22"/>
      <c r="S79" s="1"/>
    </row>
    <row r="80" spans="1:19" x14ac:dyDescent="0.25">
      <c r="A80">
        <v>535</v>
      </c>
      <c r="B80" s="1">
        <f t="shared" si="13"/>
        <v>0.15477867654845739</v>
      </c>
      <c r="C80">
        <f t="shared" si="14"/>
        <v>3.3095496338108516E-3</v>
      </c>
      <c r="D80">
        <f t="shared" si="15"/>
        <v>2.3673443391191484E-4</v>
      </c>
      <c r="E80">
        <f t="shared" si="16"/>
        <v>3.5462840677227664E-3</v>
      </c>
      <c r="F80">
        <f t="shared" si="17"/>
        <v>9992280.2758115865</v>
      </c>
      <c r="G80" s="6">
        <f t="shared" si="18"/>
        <v>1176.8879195332977</v>
      </c>
      <c r="J80">
        <f t="shared" si="19"/>
        <v>101325</v>
      </c>
      <c r="K80" s="11">
        <f t="shared" si="8"/>
        <v>0.81177257936662695</v>
      </c>
      <c r="L80" s="11">
        <f t="shared" si="5"/>
        <v>0.10466250237116886</v>
      </c>
      <c r="M80" s="1"/>
      <c r="N80" s="1"/>
      <c r="O80" s="1"/>
      <c r="P80" s="22"/>
      <c r="Q80" s="22"/>
      <c r="R80" s="22"/>
      <c r="S80" s="1"/>
    </row>
    <row r="81" spans="1:20" x14ac:dyDescent="0.25">
      <c r="A81">
        <v>540</v>
      </c>
      <c r="B81" s="1">
        <f t="shared" si="13"/>
        <v>0.155</v>
      </c>
      <c r="C81">
        <f t="shared" si="14"/>
        <v>3.3142820747668078E-3</v>
      </c>
      <c r="D81">
        <f t="shared" si="15"/>
        <v>2.3673443391191484E-4</v>
      </c>
      <c r="E81">
        <f t="shared" si="16"/>
        <v>3.5510165086787226E-3</v>
      </c>
      <c r="F81">
        <f t="shared" si="17"/>
        <v>9990943.1000629049</v>
      </c>
      <c r="G81" s="6">
        <f t="shared" si="18"/>
        <v>1176.4552440103273</v>
      </c>
      <c r="J81">
        <f t="shared" si="19"/>
        <v>101325</v>
      </c>
      <c r="K81" s="11">
        <f t="shared" si="8"/>
        <v>0.81196246019277307</v>
      </c>
      <c r="L81" s="11">
        <f t="shared" si="5"/>
        <v>0.10468698386133235</v>
      </c>
      <c r="M81" s="1"/>
      <c r="N81" s="1"/>
      <c r="O81" s="1"/>
      <c r="P81" s="22"/>
      <c r="Q81" s="22"/>
      <c r="R81" s="22"/>
      <c r="S81" s="1"/>
    </row>
    <row r="82" spans="1:20" x14ac:dyDescent="0.25">
      <c r="B82" s="1"/>
      <c r="J82" s="1"/>
    </row>
    <row r="83" spans="1:20" x14ac:dyDescent="0.25">
      <c r="B83" s="1"/>
      <c r="J83" s="1"/>
      <c r="K83" s="1"/>
      <c r="P83" s="16" t="s">
        <v>51</v>
      </c>
      <c r="Q83" s="16"/>
      <c r="R83" s="17">
        <f>R81</f>
        <v>0</v>
      </c>
      <c r="S83" s="16" t="s">
        <v>52</v>
      </c>
      <c r="T83" s="17"/>
    </row>
    <row r="84" spans="1:20" x14ac:dyDescent="0.25">
      <c r="B84" s="1"/>
      <c r="J84" s="1"/>
      <c r="T84" s="10"/>
    </row>
    <row r="85" spans="1:20" x14ac:dyDescent="0.25">
      <c r="B85" s="1"/>
      <c r="J85" s="1"/>
    </row>
    <row r="86" spans="1:20" x14ac:dyDescent="0.25">
      <c r="B86" s="1"/>
      <c r="J86" s="1"/>
    </row>
    <row r="87" spans="1:20" x14ac:dyDescent="0.25">
      <c r="B87" s="1"/>
      <c r="J87" s="1"/>
    </row>
    <row r="88" spans="1:20" x14ac:dyDescent="0.25">
      <c r="B88" s="1"/>
      <c r="J88" s="1"/>
    </row>
    <row r="89" spans="1:20" x14ac:dyDescent="0.25">
      <c r="B89" s="1"/>
      <c r="J89" s="1"/>
    </row>
    <row r="90" spans="1:20" x14ac:dyDescent="0.25">
      <c r="B90" s="1"/>
      <c r="J90" s="1"/>
    </row>
    <row r="91" spans="1:20" x14ac:dyDescent="0.25">
      <c r="B91" s="1"/>
      <c r="J91" s="1"/>
    </row>
    <row r="92" spans="1:20" x14ac:dyDescent="0.25">
      <c r="B92" s="1"/>
      <c r="J92" s="1"/>
    </row>
    <row r="93" spans="1:20" x14ac:dyDescent="0.25">
      <c r="B93" s="1"/>
      <c r="J93" s="1"/>
    </row>
    <row r="94" spans="1:20" x14ac:dyDescent="0.25">
      <c r="B94" s="1"/>
      <c r="J94" s="1"/>
    </row>
    <row r="95" spans="1:20" x14ac:dyDescent="0.25">
      <c r="B95" s="1"/>
      <c r="J95" s="1"/>
    </row>
    <row r="96" spans="1:20" x14ac:dyDescent="0.25">
      <c r="B96" s="1"/>
      <c r="J96" s="1"/>
    </row>
    <row r="97" spans="2:10" x14ac:dyDescent="0.25">
      <c r="B97" s="1"/>
      <c r="J97" s="1"/>
    </row>
    <row r="98" spans="2:10" x14ac:dyDescent="0.25">
      <c r="B98" s="1"/>
      <c r="J98" s="1"/>
    </row>
    <row r="99" spans="2:10" x14ac:dyDescent="0.25">
      <c r="B99" s="1"/>
      <c r="J99" s="1"/>
    </row>
    <row r="102" spans="2:10" x14ac:dyDescent="0.25">
      <c r="J102" s="1"/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58" fitToHeight="2" orientation="landscape" r:id="rId1"/>
  <drawing r:id="rId2"/>
  <legacyDrawing r:id="rId3"/>
  <oleObjects>
    <mc:AlternateContent xmlns:mc="http://schemas.openxmlformats.org/markup-compatibility/2006">
      <mc:Choice Requires="x14">
        <oleObject progId="Equation.3" shapeId="1061" r:id="rId4">
          <objectPr defaultSize="0" autoPict="0" r:id="rId5">
            <anchor moveWithCells="1">
              <from>
                <xdr:col>6</xdr:col>
                <xdr:colOff>133350</xdr:colOff>
                <xdr:row>2</xdr:row>
                <xdr:rowOff>0</xdr:rowOff>
              </from>
              <to>
                <xdr:col>10</xdr:col>
                <xdr:colOff>685800</xdr:colOff>
                <xdr:row>4</xdr:row>
                <xdr:rowOff>142875</xdr:rowOff>
              </to>
            </anchor>
          </objectPr>
        </oleObject>
      </mc:Choice>
      <mc:Fallback>
        <oleObject progId="Equation.3" shapeId="1061" r:id="rId4"/>
      </mc:Fallback>
    </mc:AlternateContent>
    <mc:AlternateContent xmlns:mc="http://schemas.openxmlformats.org/markup-compatibility/2006">
      <mc:Choice Requires="x14">
        <oleObject progId="Equation.3" shapeId="1062" r:id="rId6">
          <objectPr defaultSize="0" autoPict="0" r:id="rId7">
            <anchor moveWithCells="1">
              <from>
                <xdr:col>6</xdr:col>
                <xdr:colOff>142875</xdr:colOff>
                <xdr:row>6</xdr:row>
                <xdr:rowOff>66675</xdr:rowOff>
              </from>
              <to>
                <xdr:col>10</xdr:col>
                <xdr:colOff>657225</xdr:colOff>
                <xdr:row>9</xdr:row>
                <xdr:rowOff>19050</xdr:rowOff>
              </to>
            </anchor>
          </objectPr>
        </oleObject>
      </mc:Choice>
      <mc:Fallback>
        <oleObject progId="Equation.3" shapeId="1062" r:id="rId6"/>
      </mc:Fallback>
    </mc:AlternateContent>
    <mc:AlternateContent xmlns:mc="http://schemas.openxmlformats.org/markup-compatibility/2006">
      <mc:Choice Requires="x14">
        <oleObject progId="Equation.3" shapeId="1063" r:id="rId8">
          <objectPr defaultSize="0" autoPict="0" r:id="rId9">
            <anchor moveWithCells="1" sizeWithCells="1">
              <from>
                <xdr:col>11</xdr:col>
                <xdr:colOff>733425</xdr:colOff>
                <xdr:row>1</xdr:row>
                <xdr:rowOff>47625</xdr:rowOff>
              </from>
              <to>
                <xdr:col>15</xdr:col>
                <xdr:colOff>647700</xdr:colOff>
                <xdr:row>5</xdr:row>
                <xdr:rowOff>76200</xdr:rowOff>
              </to>
            </anchor>
          </objectPr>
        </oleObject>
      </mc:Choice>
      <mc:Fallback>
        <oleObject progId="Equation.3" shapeId="1063" r:id="rId8"/>
      </mc:Fallback>
    </mc:AlternateContent>
    <mc:AlternateContent xmlns:mc="http://schemas.openxmlformats.org/markup-compatibility/2006">
      <mc:Choice Requires="x14">
        <oleObject progId="Equation.3" shapeId="1064" r:id="rId10">
          <objectPr defaultSize="0" autoPict="0" r:id="rId11">
            <anchor moveWithCells="1" sizeWithCells="1">
              <from>
                <xdr:col>11</xdr:col>
                <xdr:colOff>723900</xdr:colOff>
                <xdr:row>5</xdr:row>
                <xdr:rowOff>38100</xdr:rowOff>
              </from>
              <to>
                <xdr:col>15</xdr:col>
                <xdr:colOff>590550</xdr:colOff>
                <xdr:row>9</xdr:row>
                <xdr:rowOff>66675</xdr:rowOff>
              </to>
            </anchor>
          </objectPr>
        </oleObject>
      </mc:Choice>
      <mc:Fallback>
        <oleObject progId="Equation.3" shapeId="1064" r:id="rId10"/>
      </mc:Fallback>
    </mc:AlternateContent>
    <mc:AlternateContent xmlns:mc="http://schemas.openxmlformats.org/markup-compatibility/2006">
      <mc:Choice Requires="x14">
        <oleObject progId="Equation.3" shapeId="1065" r:id="rId12">
          <objectPr defaultSize="0" autoPict="0" r:id="rId13">
            <anchor moveWithCells="1" sizeWithCells="1">
              <from>
                <xdr:col>11</xdr:col>
                <xdr:colOff>685800</xdr:colOff>
                <xdr:row>9</xdr:row>
                <xdr:rowOff>66675</xdr:rowOff>
              </from>
              <to>
                <xdr:col>14</xdr:col>
                <xdr:colOff>685800</xdr:colOff>
                <xdr:row>13</xdr:row>
                <xdr:rowOff>28575</xdr:rowOff>
              </to>
            </anchor>
          </objectPr>
        </oleObject>
      </mc:Choice>
      <mc:Fallback>
        <oleObject progId="Equation.3" shapeId="1065" r:id="rId12"/>
      </mc:Fallback>
    </mc:AlternateContent>
    <mc:AlternateContent xmlns:mc="http://schemas.openxmlformats.org/markup-compatibility/2006">
      <mc:Choice Requires="x14">
        <oleObject progId="Equation.3" shapeId="1066" r:id="rId14">
          <objectPr defaultSize="0" autoPict="0" r:id="rId15">
            <anchor moveWithCells="1" sizeWithCells="1">
              <from>
                <xdr:col>11</xdr:col>
                <xdr:colOff>666750</xdr:colOff>
                <xdr:row>13</xdr:row>
                <xdr:rowOff>133350</xdr:rowOff>
              </from>
              <to>
                <xdr:col>17</xdr:col>
                <xdr:colOff>647700</xdr:colOff>
                <xdr:row>15</xdr:row>
                <xdr:rowOff>114300</xdr:rowOff>
              </to>
            </anchor>
          </objectPr>
        </oleObject>
      </mc:Choice>
      <mc:Fallback>
        <oleObject progId="Equation.3" shapeId="1066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N4" sqref="N4"/>
    </sheetView>
  </sheetViews>
  <sheetFormatPr baseColWidth="10" defaultRowHeight="15" x14ac:dyDescent="0.25"/>
  <cols>
    <col min="3" max="3" width="43" customWidth="1"/>
    <col min="4" max="4" width="12" bestFit="1" customWidth="1"/>
  </cols>
  <sheetData>
    <row r="1" spans="1:4" x14ac:dyDescent="0.25">
      <c r="A1" t="s">
        <v>37</v>
      </c>
      <c r="C1" t="s">
        <v>38</v>
      </c>
      <c r="D1" t="s">
        <v>39</v>
      </c>
    </row>
    <row r="2" spans="1:4" x14ac:dyDescent="0.25">
      <c r="A2">
        <v>200</v>
      </c>
      <c r="B2">
        <v>237.374</v>
      </c>
      <c r="C2">
        <f>B2*1000</f>
        <v>237374</v>
      </c>
      <c r="D2">
        <f>EXP(-C2/(8.314*A2))</f>
        <v>1.0046937713224318E-62</v>
      </c>
    </row>
    <row r="3" spans="1:4" x14ac:dyDescent="0.25">
      <c r="A3">
        <v>300</v>
      </c>
      <c r="B3">
        <v>231.67</v>
      </c>
      <c r="C3">
        <f t="shared" ref="C3:C47" si="0">B3*1000</f>
        <v>231670</v>
      </c>
      <c r="D3">
        <f t="shared" ref="D3:D47" si="1">EXP(-C3/(8.314*A3))</f>
        <v>4.5836660093149837E-41</v>
      </c>
    </row>
    <row r="4" spans="1:4" x14ac:dyDescent="0.25">
      <c r="A4">
        <v>400</v>
      </c>
      <c r="B4">
        <v>225.71899999999999</v>
      </c>
      <c r="C4">
        <f t="shared" si="0"/>
        <v>225719</v>
      </c>
      <c r="D4">
        <f t="shared" si="1"/>
        <v>3.33471442259258E-30</v>
      </c>
    </row>
    <row r="5" spans="1:4" x14ac:dyDescent="0.25">
      <c r="A5">
        <v>500</v>
      </c>
      <c r="B5">
        <v>219.60499999999999</v>
      </c>
      <c r="C5">
        <f t="shared" si="0"/>
        <v>219605</v>
      </c>
      <c r="D5">
        <f t="shared" si="1"/>
        <v>1.1407623132079658E-23</v>
      </c>
    </row>
    <row r="6" spans="1:4" x14ac:dyDescent="0.25">
      <c r="A6">
        <v>600</v>
      </c>
      <c r="B6">
        <v>213.375</v>
      </c>
      <c r="C6">
        <f t="shared" si="0"/>
        <v>213375</v>
      </c>
      <c r="D6">
        <f t="shared" si="1"/>
        <v>2.6508505183829826E-19</v>
      </c>
    </row>
    <row r="7" spans="1:4" x14ac:dyDescent="0.25">
      <c r="A7">
        <v>700</v>
      </c>
      <c r="B7">
        <v>207.06</v>
      </c>
      <c r="C7">
        <f t="shared" si="0"/>
        <v>207060</v>
      </c>
      <c r="D7">
        <f t="shared" si="1"/>
        <v>3.5353746259576602E-16</v>
      </c>
    </row>
    <row r="8" spans="1:4" x14ac:dyDescent="0.25">
      <c r="A8">
        <v>800</v>
      </c>
      <c r="B8">
        <v>200.679</v>
      </c>
      <c r="C8">
        <f t="shared" si="0"/>
        <v>200679</v>
      </c>
      <c r="D8">
        <f t="shared" si="1"/>
        <v>7.8801159084695757E-14</v>
      </c>
    </row>
    <row r="9" spans="1:4" x14ac:dyDescent="0.25">
      <c r="A9">
        <v>900</v>
      </c>
      <c r="B9">
        <v>194.24600000000001</v>
      </c>
      <c r="C9">
        <f t="shared" si="0"/>
        <v>194246</v>
      </c>
      <c r="D9">
        <f t="shared" si="1"/>
        <v>5.3192268356267598E-12</v>
      </c>
    </row>
    <row r="10" spans="1:4" x14ac:dyDescent="0.25">
      <c r="A10">
        <v>1000</v>
      </c>
      <c r="B10">
        <v>187.77199999999999</v>
      </c>
      <c r="C10">
        <f t="shared" si="0"/>
        <v>187772</v>
      </c>
      <c r="D10">
        <f t="shared" si="1"/>
        <v>1.5539710826449988E-10</v>
      </c>
    </row>
    <row r="11" spans="1:4" x14ac:dyDescent="0.25">
      <c r="A11">
        <v>1100</v>
      </c>
      <c r="B11">
        <v>181.26300000000001</v>
      </c>
      <c r="C11">
        <f t="shared" si="0"/>
        <v>181263</v>
      </c>
      <c r="D11">
        <f t="shared" si="1"/>
        <v>2.4673326913154957E-9</v>
      </c>
    </row>
    <row r="12" spans="1:4" x14ac:dyDescent="0.25">
      <c r="A12">
        <v>1200</v>
      </c>
      <c r="B12">
        <v>174.72399999999999</v>
      </c>
      <c r="C12">
        <f t="shared" si="0"/>
        <v>174724</v>
      </c>
      <c r="D12">
        <f t="shared" si="1"/>
        <v>2.4784925033914361E-8</v>
      </c>
    </row>
    <row r="13" spans="1:4" x14ac:dyDescent="0.25">
      <c r="A13">
        <v>1300</v>
      </c>
      <c r="B13">
        <v>168.15899999999999</v>
      </c>
      <c r="C13">
        <f t="shared" si="0"/>
        <v>168159</v>
      </c>
      <c r="D13">
        <f t="shared" si="1"/>
        <v>1.7500262392714088E-7</v>
      </c>
    </row>
    <row r="14" spans="1:4" x14ac:dyDescent="0.25">
      <c r="A14">
        <v>1400</v>
      </c>
      <c r="B14">
        <v>161.572</v>
      </c>
      <c r="C14">
        <f t="shared" si="0"/>
        <v>161572</v>
      </c>
      <c r="D14">
        <f t="shared" si="1"/>
        <v>9.3639070090751023E-7</v>
      </c>
    </row>
    <row r="15" spans="1:4" x14ac:dyDescent="0.25">
      <c r="A15">
        <v>1500</v>
      </c>
      <c r="B15">
        <v>154.96600000000001</v>
      </c>
      <c r="C15">
        <f t="shared" si="0"/>
        <v>154966</v>
      </c>
      <c r="D15">
        <f t="shared" si="1"/>
        <v>4.0124498345193126E-6</v>
      </c>
    </row>
    <row r="16" spans="1:4" x14ac:dyDescent="0.25">
      <c r="A16">
        <v>1600</v>
      </c>
      <c r="B16">
        <v>148.34200000000001</v>
      </c>
      <c r="C16">
        <f t="shared" si="0"/>
        <v>148342</v>
      </c>
      <c r="D16">
        <f t="shared" si="1"/>
        <v>1.4353431291531682E-5</v>
      </c>
    </row>
    <row r="17" spans="1:4" x14ac:dyDescent="0.25">
      <c r="A17">
        <v>1700</v>
      </c>
      <c r="B17">
        <v>141.702</v>
      </c>
      <c r="C17">
        <f t="shared" si="0"/>
        <v>141702</v>
      </c>
      <c r="D17">
        <f t="shared" si="1"/>
        <v>4.4245633620693979E-5</v>
      </c>
    </row>
    <row r="18" spans="1:4" x14ac:dyDescent="0.25">
      <c r="A18">
        <v>1800</v>
      </c>
      <c r="B18">
        <v>135.04900000000001</v>
      </c>
      <c r="C18">
        <f t="shared" si="0"/>
        <v>135049</v>
      </c>
      <c r="D18">
        <f t="shared" si="1"/>
        <v>1.2045879458041316E-4</v>
      </c>
    </row>
    <row r="19" spans="1:4" x14ac:dyDescent="0.25">
      <c r="A19">
        <v>1900</v>
      </c>
      <c r="B19">
        <v>128.38399999999999</v>
      </c>
      <c r="C19">
        <f t="shared" si="0"/>
        <v>128383.99999999999</v>
      </c>
      <c r="D19">
        <f t="shared" si="1"/>
        <v>2.9535913452246308E-4</v>
      </c>
    </row>
    <row r="20" spans="1:4" x14ac:dyDescent="0.25">
      <c r="A20">
        <v>2000</v>
      </c>
      <c r="B20">
        <v>121.709</v>
      </c>
      <c r="C20">
        <f t="shared" si="0"/>
        <v>121709</v>
      </c>
      <c r="D20">
        <f t="shared" si="1"/>
        <v>6.6247927117133387E-4</v>
      </c>
    </row>
    <row r="21" spans="1:4" x14ac:dyDescent="0.25">
      <c r="A21">
        <v>2100</v>
      </c>
      <c r="B21">
        <v>115.023</v>
      </c>
      <c r="C21">
        <f t="shared" si="0"/>
        <v>115023</v>
      </c>
      <c r="D21">
        <f t="shared" si="1"/>
        <v>1.3767535105150062E-3</v>
      </c>
    </row>
    <row r="22" spans="1:4" x14ac:dyDescent="0.25">
      <c r="A22">
        <v>2200</v>
      </c>
      <c r="B22">
        <v>108.32899999999999</v>
      </c>
      <c r="C22">
        <f t="shared" si="0"/>
        <v>108329</v>
      </c>
      <c r="D22">
        <f t="shared" si="1"/>
        <v>2.6782412074441201E-3</v>
      </c>
    </row>
    <row r="23" spans="1:4" x14ac:dyDescent="0.25">
      <c r="A23">
        <v>2300</v>
      </c>
      <c r="B23">
        <v>101.627</v>
      </c>
      <c r="C23">
        <f t="shared" si="0"/>
        <v>101627</v>
      </c>
      <c r="D23">
        <f t="shared" si="1"/>
        <v>4.919205959827486E-3</v>
      </c>
    </row>
    <row r="24" spans="1:4" x14ac:dyDescent="0.25">
      <c r="A24">
        <v>2400</v>
      </c>
      <c r="B24">
        <v>94.918000000000006</v>
      </c>
      <c r="C24">
        <f t="shared" si="0"/>
        <v>94918</v>
      </c>
      <c r="D24">
        <f t="shared" si="1"/>
        <v>8.5918938850115759E-3</v>
      </c>
    </row>
    <row r="25" spans="1:4" x14ac:dyDescent="0.25">
      <c r="A25">
        <v>2500</v>
      </c>
      <c r="B25">
        <v>88.203000000000003</v>
      </c>
      <c r="C25">
        <f t="shared" si="0"/>
        <v>88203</v>
      </c>
      <c r="D25">
        <f t="shared" si="1"/>
        <v>1.4355973856637519E-2</v>
      </c>
    </row>
    <row r="26" spans="1:4" x14ac:dyDescent="0.25">
      <c r="A26">
        <v>2600</v>
      </c>
      <c r="B26">
        <v>81.483000000000004</v>
      </c>
      <c r="C26">
        <f t="shared" si="0"/>
        <v>81483</v>
      </c>
      <c r="D26">
        <f t="shared" si="1"/>
        <v>2.3063613326453479E-2</v>
      </c>
    </row>
    <row r="27" spans="1:4" x14ac:dyDescent="0.25">
      <c r="A27">
        <v>2700</v>
      </c>
      <c r="B27">
        <v>74.757000000000005</v>
      </c>
      <c r="C27">
        <f t="shared" si="0"/>
        <v>74757</v>
      </c>
      <c r="D27">
        <f t="shared" si="1"/>
        <v>3.5783816693207959E-2</v>
      </c>
    </row>
    <row r="28" spans="1:4" x14ac:dyDescent="0.25">
      <c r="A28">
        <v>2800</v>
      </c>
      <c r="B28">
        <v>68.027000000000001</v>
      </c>
      <c r="C28">
        <f t="shared" si="0"/>
        <v>68027</v>
      </c>
      <c r="D28">
        <f t="shared" si="1"/>
        <v>5.3813957458805163E-2</v>
      </c>
    </row>
    <row r="29" spans="1:4" x14ac:dyDescent="0.25">
      <c r="A29">
        <v>2900</v>
      </c>
      <c r="B29">
        <v>61.292000000000002</v>
      </c>
      <c r="C29">
        <f t="shared" si="0"/>
        <v>61292</v>
      </c>
      <c r="D29">
        <f t="shared" si="1"/>
        <v>7.8699505703025724E-2</v>
      </c>
    </row>
    <row r="30" spans="1:4" x14ac:dyDescent="0.25">
      <c r="A30">
        <v>3000</v>
      </c>
      <c r="B30">
        <v>54.554000000000002</v>
      </c>
      <c r="C30">
        <f t="shared" si="0"/>
        <v>54554</v>
      </c>
      <c r="D30">
        <f t="shared" si="1"/>
        <v>0.11222669579358943</v>
      </c>
    </row>
    <row r="31" spans="1:4" x14ac:dyDescent="0.25">
      <c r="A31">
        <v>3100</v>
      </c>
      <c r="B31">
        <v>47.811999999999998</v>
      </c>
      <c r="C31">
        <f t="shared" si="0"/>
        <v>47812</v>
      </c>
      <c r="D31">
        <f t="shared" si="1"/>
        <v>0.15643872054736535</v>
      </c>
    </row>
    <row r="32" spans="1:4" x14ac:dyDescent="0.25">
      <c r="A32">
        <v>3200</v>
      </c>
      <c r="B32">
        <v>41.067999999999998</v>
      </c>
      <c r="C32">
        <f t="shared" si="0"/>
        <v>41068</v>
      </c>
      <c r="D32">
        <f t="shared" si="1"/>
        <v>0.21360404721481444</v>
      </c>
    </row>
    <row r="33" spans="1:7" ht="18.75" x14ac:dyDescent="0.3">
      <c r="A33">
        <v>3300</v>
      </c>
      <c r="B33">
        <v>34.32</v>
      </c>
      <c r="C33">
        <f t="shared" si="0"/>
        <v>34320</v>
      </c>
      <c r="D33">
        <f t="shared" si="1"/>
        <v>0.28624645946957378</v>
      </c>
      <c r="G33" s="7"/>
    </row>
    <row r="34" spans="1:7" x14ac:dyDescent="0.25">
      <c r="A34">
        <v>3400</v>
      </c>
      <c r="B34">
        <v>27.57</v>
      </c>
      <c r="C34">
        <f t="shared" si="0"/>
        <v>27570</v>
      </c>
      <c r="D34">
        <f t="shared" si="1"/>
        <v>0.37707107947997898</v>
      </c>
      <c r="G34" t="s">
        <v>40</v>
      </c>
    </row>
    <row r="35" spans="1:7" x14ac:dyDescent="0.25">
      <c r="A35">
        <v>3500</v>
      </c>
      <c r="B35">
        <v>20.818000000000001</v>
      </c>
      <c r="C35">
        <f t="shared" si="0"/>
        <v>20818</v>
      </c>
      <c r="D35">
        <f t="shared" si="1"/>
        <v>0.48898680482201901</v>
      </c>
    </row>
    <row r="36" spans="1:7" x14ac:dyDescent="0.25">
      <c r="A36">
        <v>3600</v>
      </c>
      <c r="B36">
        <v>14.063000000000001</v>
      </c>
      <c r="C36">
        <f t="shared" si="0"/>
        <v>14063</v>
      </c>
      <c r="D36">
        <f t="shared" si="1"/>
        <v>0.62509181609069242</v>
      </c>
    </row>
    <row r="37" spans="1:7" x14ac:dyDescent="0.25">
      <c r="A37">
        <v>3700</v>
      </c>
      <c r="B37">
        <v>7.3070000000000004</v>
      </c>
      <c r="C37">
        <f t="shared" si="0"/>
        <v>7307</v>
      </c>
      <c r="D37">
        <f t="shared" si="1"/>
        <v>0.78856939729013531</v>
      </c>
    </row>
    <row r="38" spans="1:7" x14ac:dyDescent="0.25">
      <c r="A38">
        <v>3800</v>
      </c>
      <c r="B38">
        <v>0.54800000000000004</v>
      </c>
      <c r="C38">
        <f t="shared" si="0"/>
        <v>548</v>
      </c>
      <c r="D38">
        <f t="shared" si="1"/>
        <v>0.98280406251661623</v>
      </c>
    </row>
    <row r="39" spans="1:7" x14ac:dyDescent="0.25">
      <c r="A39">
        <v>3900</v>
      </c>
      <c r="B39">
        <v>-6.2119999999999997</v>
      </c>
      <c r="C39">
        <f t="shared" si="0"/>
        <v>-6212</v>
      </c>
      <c r="D39">
        <f t="shared" si="1"/>
        <v>1.2111652756895064</v>
      </c>
    </row>
    <row r="40" spans="1:7" x14ac:dyDescent="0.25">
      <c r="A40">
        <v>4000</v>
      </c>
      <c r="B40">
        <v>-12.974</v>
      </c>
      <c r="C40">
        <f t="shared" si="0"/>
        <v>-12974</v>
      </c>
      <c r="D40">
        <f t="shared" si="1"/>
        <v>1.477165561275315</v>
      </c>
    </row>
    <row r="41" spans="1:7" x14ac:dyDescent="0.25">
      <c r="A41">
        <v>4100</v>
      </c>
      <c r="B41">
        <v>-19.736999999999998</v>
      </c>
      <c r="C41">
        <f t="shared" si="0"/>
        <v>-19737</v>
      </c>
      <c r="D41">
        <f t="shared" si="1"/>
        <v>1.7842739817746494</v>
      </c>
    </row>
    <row r="42" spans="1:7" x14ac:dyDescent="0.25">
      <c r="A42">
        <v>4200</v>
      </c>
      <c r="B42">
        <v>-26.501000000000001</v>
      </c>
      <c r="C42">
        <f t="shared" si="0"/>
        <v>-26501</v>
      </c>
      <c r="D42">
        <f t="shared" si="1"/>
        <v>2.1359940834252749</v>
      </c>
    </row>
    <row r="43" spans="1:7" x14ac:dyDescent="0.25">
      <c r="A43">
        <v>4300</v>
      </c>
      <c r="B43">
        <v>-33.267000000000003</v>
      </c>
      <c r="C43">
        <f t="shared" si="0"/>
        <v>-33267</v>
      </c>
      <c r="D43">
        <f t="shared" si="1"/>
        <v>2.5358788129103456</v>
      </c>
    </row>
    <row r="44" spans="1:7" x14ac:dyDescent="0.25">
      <c r="A44">
        <v>4400</v>
      </c>
      <c r="B44">
        <v>-40.033999999999999</v>
      </c>
      <c r="C44">
        <f t="shared" si="0"/>
        <v>-40034</v>
      </c>
      <c r="D44">
        <f t="shared" si="1"/>
        <v>2.987315967028878</v>
      </c>
    </row>
    <row r="45" spans="1:7" x14ac:dyDescent="0.25">
      <c r="A45">
        <v>4500</v>
      </c>
      <c r="B45">
        <v>-46.802</v>
      </c>
      <c r="C45">
        <f t="shared" si="0"/>
        <v>-46802</v>
      </c>
      <c r="D45">
        <f t="shared" si="1"/>
        <v>3.4936797493894063</v>
      </c>
    </row>
    <row r="46" spans="1:7" x14ac:dyDescent="0.25">
      <c r="A46">
        <v>4600</v>
      </c>
      <c r="B46">
        <v>-53.570999999999998</v>
      </c>
      <c r="C46">
        <f t="shared" si="0"/>
        <v>-53571</v>
      </c>
      <c r="D46">
        <f t="shared" si="1"/>
        <v>4.0582591356305207</v>
      </c>
    </row>
    <row r="47" spans="1:7" x14ac:dyDescent="0.25">
      <c r="A47">
        <v>4700</v>
      </c>
      <c r="B47">
        <v>-60.341999999999999</v>
      </c>
      <c r="C47">
        <f t="shared" si="0"/>
        <v>-60342</v>
      </c>
      <c r="D47">
        <f t="shared" si="1"/>
        <v>4.684360564923896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NO-Formation</vt:lpstr>
      <vt:lpstr>Bildungsenthalpie</vt:lpstr>
      <vt:lpstr>Diagramme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Niendorf</dc:creator>
  <cp:lastModifiedBy>Windows User</cp:lastModifiedBy>
  <cp:lastPrinted>2016-01-27T09:49:11Z</cp:lastPrinted>
  <dcterms:created xsi:type="dcterms:W3CDTF">2010-12-30T15:37:30Z</dcterms:created>
  <dcterms:modified xsi:type="dcterms:W3CDTF">2018-01-23T13:44:43Z</dcterms:modified>
</cp:coreProperties>
</file>